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c05fcd936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cdda225aaf8e4407"/>
    <x:sheet xmlns:r="http://schemas.openxmlformats.org/officeDocument/2006/relationships" name="Evidence" sheetId="2" r:id="R15ad6118ec124e58"/>
    <x:sheet xmlns:r="http://schemas.openxmlformats.org/officeDocument/2006/relationships" name="Assumptions" sheetId="3" r:id="R56a7c89c87d040d9"/>
    <x:sheet xmlns:r="http://schemas.openxmlformats.org/officeDocument/2006/relationships" name="Bear" sheetId="4" r:id="R2625d40d4b9c4f73"/>
    <x:sheet xmlns:r="http://schemas.openxmlformats.org/officeDocument/2006/relationships" name="Base" sheetId="5" r:id="R91c82d4a793f4a8b"/>
    <x:sheet xmlns:r="http://schemas.openxmlformats.org/officeDocument/2006/relationships" name="Bull" sheetId="6" r:id="R3c38b3b4448a44bb"/>
    <x:sheet xmlns:r="http://schemas.openxmlformats.org/officeDocument/2006/relationships" name="Transaction" sheetId="7" r:id="R290553da6ab249fc"/>
    <x:sheet xmlns:r="http://schemas.openxmlformats.org/officeDocument/2006/relationships" name="Cash Flows" sheetId="8" r:id="R59d7526120f74a25"/>
    <x:sheet xmlns:r="http://schemas.openxmlformats.org/officeDocument/2006/relationships" name="Sensitivity" sheetId="9" r:id="R032203e373ef4651"/>
    <x:sheet xmlns:r="http://schemas.openxmlformats.org/officeDocument/2006/relationships" name="Unit Economics" sheetId="10" r:id="R8262f4c0e9744f7a"/>
    <x:sheet xmlns:r="http://schemas.openxmlformats.org/officeDocument/2006/relationships" name="Diligence" sheetId="11" r:id="R97c6d99710764b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;[Red](0.0%);-"/>
    <x:numFmt numFmtId="201" formatCode="0.00&quot;x&quot;;[Red](0.00&quot;x&quot;);-"/>
    <x:numFmt numFmtId="202" formatCode="#,##0.00;[Red](#,##0.00);-"/>
    <x:numFmt numFmtId="203" formatCode="#,##0;[Red](#,##0);-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name val="Carlito"/>
    </x:font>
    <x:font>
      <x:sz val="11"/>
      <x:color rgb="FF008000"/>
      <x:name val="Carlito"/>
    </x:font>
    <x:font>
      <x:b/>
      <x:sz val="11"/>
      <x:color rgb="FF00800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243B"/>
      </x:patternFill>
    </x:fill>
    <x:fill>
      <x:patternFill patternType="solid">
        <x:fgColor rgb="FF24364F"/>
      </x:patternFill>
    </x:fill>
    <x:fill>
      <x:patternFill patternType="solid">
        <x:fgColor rgb="FFFFF1B7"/>
      </x:patternFill>
    </x:fill>
    <x:fill>
      <x:patternFill patternType="solid">
        <x:fgColor rgb="FFEAF0F6"/>
      </x:patternFill>
    </x:fill>
    <x:fill>
      <x:patternFill patternType="solid">
        <x:fgColor rgb="FF087E83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202" fontId="3" fillId="4" borderId="0" xfId="0" applyNumberFormat="1" applyFont="1" applyFill="1" applyBorder="1"/>
    <x:xf numFmtId="202" fontId="3" fillId="4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5" borderId="0" xfId="0" applyNumberFormat="1" applyFont="1" applyFill="1" applyBorder="1"/>
    <x:xf numFmtId="202" fontId="0" fillId="5" borderId="0" xfId="0" applyNumberFormat="1" applyFont="1" applyFill="1" applyBorder="1"/>
    <x:xf numFmtId="0" fontId="0" fillId="5" borderId="1" xfId="0" applyNumberFormat="1" applyFont="1" applyFill="1" applyBorder="1"/>
    <x:xf numFmtId="202" fontId="0" fillId="5" borderId="1" xfId="0" applyNumberFormat="1" applyFont="1" applyFill="1" applyBorder="1"/>
    <x:xf numFmtId="0" fontId="4" fillId="5" borderId="0" xfId="0" applyNumberFormat="1" applyFont="1" applyFill="1" applyBorder="1"/>
    <x:xf numFmtId="202" fontId="4" fillId="5" borderId="0" xfId="0" applyNumberFormat="1" applyFont="1" applyFill="1" applyBorder="1"/>
    <x:xf numFmtId="0" fontId="4" fillId="5" borderId="1" xfId="0" applyNumberFormat="1" applyFont="1" applyFill="1" applyBorder="1"/>
    <x:xf numFmtId="202" fontId="4" fillId="5" borderId="1" xfId="0" applyNumberFormat="1" applyFont="1" applyFill="1" applyBorder="1"/>
    <x:xf numFmtId="0" fontId="0" fillId="7" borderId="0" xfId="0" applyNumberFormat="1" applyFont="1" applyFill="1" applyBorder="1"/>
    <x:xf numFmtId="202" fontId="0" fillId="7" borderId="0" xfId="0" applyNumberFormat="1" applyFont="1" applyFill="1" applyBorder="1"/>
    <x:xf numFmtId="0" fontId="0" fillId="7" borderId="1" xfId="0" applyNumberFormat="1" applyFont="1" applyFill="1" applyBorder="1"/>
    <x:xf numFmtId="202" fontId="0" fillId="7" borderId="1" xfId="0" applyNumberFormat="1" applyFont="1" applyFill="1" applyBorder="1"/>
    <x:xf numFmtId="0" fontId="4" fillId="7" borderId="0" xfId="0" applyNumberFormat="1" applyFont="1" applyFill="1" applyBorder="1"/>
    <x:xf numFmtId="202" fontId="4" fillId="7" borderId="0" xfId="0" applyNumberFormat="1" applyFont="1" applyFill="1" applyBorder="1"/>
    <x:xf numFmtId="0" fontId="4" fillId="7" borderId="1" xfId="0" applyNumberFormat="1" applyFont="1" applyFill="1" applyBorder="1"/>
    <x:xf numFmtId="202" fontId="4" fillId="7" borderId="1" xfId="0" applyNumberFormat="1" applyFont="1" applyFill="1" applyBorder="1"/>
    <x:xf numFmtId="203" fontId="5" fillId="0" borderId="0" xfId="0" applyNumberFormat="1" applyFont="1" applyFill="1" applyBorder="1"/>
    <x:xf numFmtId="200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6" fillId="5" borderId="0" xfId="0" applyNumberFormat="1" applyFont="1" applyFill="1" applyBorder="1"/>
    <x:xf numFmtId="202" fontId="6" fillId="7" borderId="0" xfId="0" applyNumberFormat="1" applyFont="1" applyFill="1" applyBorder="1"/>
    <x:xf numFmtId="203" fontId="5" fillId="0" borderId="1" xfId="0" applyNumberFormat="1" applyFont="1" applyFill="1" applyBorder="1"/>
    <x:xf numFmtId="200" fontId="5" fillId="0" borderId="1" xfId="0" applyNumberFormat="1" applyFont="1" applyFill="1" applyBorder="1"/>
    <x:xf numFmtId="202" fontId="5" fillId="0" borderId="1" xfId="0" applyNumberFormat="1" applyFont="1" applyFill="1" applyBorder="1"/>
    <x:xf numFmtId="202" fontId="6" fillId="5" borderId="1" xfId="0" applyNumberFormat="1" applyFont="1" applyFill="1" applyBorder="1"/>
    <x:xf numFmtId="202" fontId="6" fillId="7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5" fillId="0" borderId="1" xfId="0" applyNumberFormat="1" applyFont="1" applyFill="1" applyBorder="1"/>
    <x:xf numFmtId="201" fontId="5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81ffeb48e47a2" /><Relationship Type="http://schemas.openxmlformats.org/officeDocument/2006/relationships/theme" Target="/xl/theme/theme1.xml" Id="R3dabc9a23c6a412c" /><Relationship Type="http://schemas.openxmlformats.org/officeDocument/2006/relationships/sharedStrings" Target="/xl/sharedStrings.xml" Id="Re71a6b0d2bdb40d0" /><Relationship Type="http://schemas.openxmlformats.org/officeDocument/2006/relationships/worksheet" Target="/xl/worksheets/sheet1.xml" Id="Rcdda225aaf8e4407" /><Relationship Type="http://schemas.openxmlformats.org/officeDocument/2006/relationships/worksheet" Target="/xl/worksheets/sheet2.xml" Id="R15ad6118ec124e58" /><Relationship Type="http://schemas.openxmlformats.org/officeDocument/2006/relationships/worksheet" Target="/xl/worksheets/sheet3.xml" Id="R56a7c89c87d040d9" /><Relationship Type="http://schemas.openxmlformats.org/officeDocument/2006/relationships/worksheet" Target="/xl/worksheets/sheet4.xml" Id="R2625d40d4b9c4f73" /><Relationship Type="http://schemas.openxmlformats.org/officeDocument/2006/relationships/worksheet" Target="/xl/worksheets/sheet5.xml" Id="R91c82d4a793f4a8b" /><Relationship Type="http://schemas.openxmlformats.org/officeDocument/2006/relationships/worksheet" Target="/xl/worksheets/sheet6.xml" Id="R3c38b3b4448a44bb" /><Relationship Type="http://schemas.openxmlformats.org/officeDocument/2006/relationships/worksheet" Target="/xl/worksheets/sheet7.xml" Id="R290553da6ab249fc" /><Relationship Type="http://schemas.openxmlformats.org/officeDocument/2006/relationships/worksheet" Target="/xl/worksheets/sheet8.xml" Id="R59d7526120f74a25" /><Relationship Type="http://schemas.openxmlformats.org/officeDocument/2006/relationships/worksheet" Target="/xl/worksheets/sheet9.xml" Id="R032203e373ef4651" /><Relationship Type="http://schemas.openxmlformats.org/officeDocument/2006/relationships/worksheet" Target="/xl/worksheets/sheet10.xml" Id="R8262f4c0e9744f7a" /><Relationship Type="http://schemas.openxmlformats.org/officeDocument/2006/relationships/worksheet" Target="/xl/worksheets/sheet11.xml" Id="R97c6d99710764b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4" customHeight="1">
      <x:c r="A1" s="3" t="str">
        <x:v>CHOICE | Independent Investment Underwriting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4" ht="23" customHeight="1">
      <x:c r="A4" s="7" t="str">
        <x:v>READ ME</x:v>
      </x:c>
      <x:c r="B4" s="7"/>
      <x:c r="C4" s="7"/>
      <x:c r="D4" s="7"/>
      <x:c r="E4" s="7"/>
      <x:c r="F4" s="7"/>
      <x:c r="G4" s="7"/>
      <x:c r="H4" s="7"/>
      <x:c r="I4" s="7"/>
    </x:row>
    <x:row r="6" ht="33" customHeight="1">
      <x:c r="A6" s="10" t="str">
        <x:v>ANALYST SCENARIOS. This is an illustrative underwriting exercise, NOT Choice financial statements or actual investment terms.</x:v>
      </x:c>
      <x:c r="B6" s="10"/>
      <x:c r="C6" s="10"/>
      <x:c r="D6" s="10"/>
      <x:c r="E6" s="10"/>
      <x:c r="F6" s="10"/>
      <x:c r="G6" s="10"/>
      <x:c r="H6" s="10"/>
      <x:c r="I6" s="10"/>
    </x:row>
    <x:row r="7" ht="33" customHeight="1">
      <x:c r="A7" s="10" t="str">
        <x:v>Company-paid restaurant count is management-reported as &gt;9,000 in Oct 2026, not audited. Model uses 9,000 as a conservative floor.</x:v>
      </x:c>
      <x:c r="B7" s="10"/>
      <x:c r="C7" s="10"/>
      <x:c r="D7" s="10"/>
      <x:c r="E7" s="10"/>
      <x:c r="F7" s="10"/>
      <x:c r="G7" s="10"/>
      <x:c r="H7" s="10"/>
      <x:c r="I7" s="10"/>
    </x:row>
    <x:row r="8" ht="33" customHeight="1">
      <x:c r="A8" s="10" t="str">
        <x:v>2026 inputs reflect an October observed point-in-time annualized run rate, NOT recognized FY 2026 revenue.</x:v>
      </x:c>
      <x:c r="B8" s="10"/>
      <x:c r="C8" s="10"/>
      <x:c r="D8" s="10"/>
      <x:c r="E8" s="10"/>
      <x:c r="F8" s="10"/>
      <x:c r="G8" s="10"/>
      <x:c r="H8" s="10"/>
      <x:c r="I8" s="10"/>
    </x:row>
    <x:row r="9" ht="33" customHeight="1">
      <x:c r="A9" s="10" t="str">
        <x:v>Platform GMV is restaurant sales processed through Choice workflows, not Choice revenue. The base model assumes zero monetizable GMV revenue.</x:v>
      </x:c>
      <x:c r="B9" s="10"/>
      <x:c r="C9" s="10"/>
      <x:c r="D9" s="10"/>
      <x:c r="E9" s="10"/>
      <x:c r="F9" s="10"/>
      <x:c r="G9" s="10"/>
      <x:c r="H9" s="10"/>
      <x:c r="I9" s="10"/>
    </x:row>
    <x:row r="10" ht="33" customHeight="1">
      <x:c r="A10" s="10" t="str">
        <x:v>Actual subscription ARR, GRR, NRR, cohort churn, cash flow, profitability, capitalization and entry price are not verified.</x:v>
      </x:c>
      <x:c r="B10" s="10"/>
      <x:c r="C10" s="10"/>
      <x:c r="D10" s="10"/>
      <x:c r="E10" s="10"/>
      <x:c r="F10" s="10"/>
      <x:c r="G10" s="10"/>
      <x:c r="H10" s="10"/>
      <x:c r="I10" s="10"/>
    </x:row>
    <x:row r="11" ht="33" customHeight="1">
      <x:c r="A11" s="10" t="str">
        <x:v>All numeric projected outputs are formula-derived. Only public facts and clearly marked analyst assumptions are hardcoded.</x:v>
      </x:c>
      <x:c r="B11" s="10"/>
      <x:c r="C11" s="10"/>
      <x:c r="D11" s="10"/>
      <x:c r="E11" s="10"/>
      <x:c r="F11" s="10"/>
      <x:c r="G11" s="10"/>
      <x:c r="H11" s="10"/>
      <x:c r="I11" s="10"/>
    </x:row>
    <x:row r="12" ht="33" customHeight="1">
      <x:c r="A12" s="10" t="str">
        <x:v>Any exit equity value assumes EV approximately equals equity value before modeled selling costs. Debt, cash and preferences remain unknown.</x:v>
      </x:c>
      <x:c r="B12" s="10"/>
      <x:c r="C12" s="10"/>
      <x:c r="D12" s="10"/>
      <x:c r="E12" s="10"/>
      <x:c r="F12" s="10"/>
      <x:c r="G12" s="10"/>
      <x:c r="H12" s="10"/>
      <x:c r="I12" s="10"/>
    </x:row>
    <x:row r="13" ht="33" customHeight="1">
      <x:c r="A13" s="10" t="str">
        <x:v>Decision: REQUEST PRIVATE DATA / DO NOT RECOMMEND INVESTMENT at this stage.</x:v>
      </x:c>
      <x:c r="B13" s="10"/>
      <x:c r="C13" s="10"/>
      <x:c r="D13" s="10"/>
      <x:c r="E13" s="10"/>
      <x:c r="F13" s="10"/>
      <x:c r="G13" s="10"/>
      <x:c r="H13" s="10"/>
      <x:c r="I13" s="10"/>
    </x:row>
    <x:row r="14" ht="33" customHeight="1">
      <x:c r="A14" s="10" t="str">
        <x:v>Unaffiliated with Flashpoint or Choice. Research cutoff: 2026-11-01.</x:v>
      </x:c>
      <x:c r="B14" s="10"/>
      <x:c r="C14" s="10"/>
      <x:c r="D14" s="10"/>
      <x:c r="E14" s="10"/>
      <x:c r="F14" s="10"/>
      <x:c r="G14" s="10"/>
      <x:c r="H14" s="10"/>
      <x:c r="I14" s="10"/>
    </x:row>
    <x:row r="16" ht="23" customHeight="1">
      <x:c r="A16" s="7" t="str">
        <x:v>WORKBOOK MAP</x:v>
      </x:c>
      <x:c r="B16" s="7"/>
      <x:c r="C16" s="7"/>
      <x:c r="D16" s="7"/>
      <x:c r="E16" s="7"/>
      <x:c r="F16" s="7"/>
      <x:c r="G16" s="7"/>
      <x:c r="H16" s="7"/>
      <x:c r="I16" s="7"/>
    </x:row>
    <x:row r="18">
      <x:c r="A18" t="str">
        <x:v>Evidence</x:v>
      </x:c>
      <x:c r="B18" t="str">
        <x:v>Source URLs and data-quality classifications</x:v>
      </x:c>
    </x:row>
    <x:row r="19">
      <x:c r="A19" t="str">
        <x:v>Assumptions</x:v>
      </x:c>
      <x:c r="B19" t="str">
        <x:v>Only hardcoded public inputs and analyst scenarios</x:v>
      </x:c>
    </x:row>
    <x:row r="20">
      <x:c r="A20" t="str">
        <x:v>Bear / Base / Bull</x:v>
      </x:c>
      <x:c r="B20" t="str">
        <x:v>Seven-year restaurant cohort and subscription operating forecasts</x:v>
      </x:c>
    </x:row>
    <x:row r="21">
      <x:c r="A21" t="str">
        <x:v>Transaction</x:v>
      </x:c>
      <x:c r="B21" t="str">
        <x:v>Entry ownership, follow-on financing, returns and max entry price</x:v>
      </x:c>
    </x:row>
    <x:row r="22">
      <x:c r="A22" t="str">
        <x:v>Cash Flows</x:v>
      </x:c>
      <x:c r="B22" t="str">
        <x:v>Annual dated cash flow series for IRR</x:v>
      </x:c>
    </x:row>
    <x:row r="23">
      <x:c r="A23" t="str">
        <x:v>Sensitivity</x:v>
      </x:c>
      <x:c r="B23" t="str">
        <x:v>Formula-driven base-case valuation sensitivity matrix</x:v>
      </x:c>
    </x:row>
    <x:row r="24">
      <x:c r="A24" t="str">
        <x:v>Unit Economics</x:v>
      </x:c>
      <x:c r="B24" t="str">
        <x:v>Illustrative CAC, payback and LTV/CAC, not reported metrics</x:v>
      </x:c>
    </x:row>
    <x:row r="25">
      <x:c r="A25" t="str">
        <x:v>Diligence</x:v>
      </x:c>
      <x:c r="B25" t="str">
        <x:v>Private diligence workplan and decision gates</x:v>
      </x:c>
    </x:row>
  </x:sheetData>
  <x:mergeCells>
    <x:mergeCell ref="A1:I2"/>
    <x:mergeCell ref="A4:I4"/>
    <x:mergeCell ref="A6:I6"/>
    <x:mergeCell ref="A7:I7"/>
    <x:mergeCell ref="A8:I8"/>
    <x:mergeCell ref="A9:I9"/>
    <x:mergeCell ref="A10:I10"/>
    <x:mergeCell ref="A11:I11"/>
    <x:mergeCell ref="A12:I12"/>
    <x:mergeCell ref="A13:I13"/>
    <x:mergeCell ref="A14:I14"/>
    <x:mergeCell ref="A16:I16"/>
    <x:mergeCell ref="B18:H18"/>
    <x:mergeCell ref="B19:H19"/>
    <x:mergeCell ref="B20:H20"/>
    <x:mergeCell ref="B21:H21"/>
    <x:mergeCell ref="B22:H22"/>
    <x:mergeCell ref="B23:H23"/>
    <x:mergeCell ref="B24:H24"/>
    <x:mergeCell ref="B25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15" hidden="0" customWidth="1"/>
    <x:col min="3" max="3" width="67" hidden="0" customWidth="1"/>
    <x:col min="4" max="4" width="25" hidden="0" customWidth="1"/>
    <x:col min="5" max="5" width="68" hidden="0" customWidth="1"/>
    <x:col min="6" max="6" width="39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4" customHeight="1">
      <x:c r="A1" s="3" t="str">
        <x:v>PUBLIC EVIDENCE &amp; LIMITATIONS</x:v>
      </x:c>
      <x:c r="B1" s="3"/>
      <x:c r="C1" s="3"/>
      <x:c r="D1" s="3"/>
      <x:c r="E1" s="3"/>
      <x:c r="F1" s="3"/>
      <x:c r="G1" s="3"/>
    </x:row>
    <x:row r="2" ht="24" customHeight="1">
      <x:c r="A2" s="3"/>
      <x:c r="B2" s="3"/>
      <x:c r="C2" s="3"/>
      <x:c r="D2" s="3"/>
      <x:c r="E2" s="3"/>
      <x:c r="F2" s="3"/>
      <x:c r="G2" s="3"/>
    </x:row>
    <x:row r="4">
      <x:c r="A4" s="7" t="str">
        <x:v>ID</x:v>
      </x:c>
      <x:c r="B4" s="7" t="str">
        <x:v>Date</x:v>
      </x:c>
      <x:c r="C4" s="7" t="str">
        <x:v>Statement / limit</x:v>
      </x:c>
      <x:c r="D4" s="7" t="str">
        <x:v>Classification</x:v>
      </x:c>
      <x:c r="E4" s="7" t="str">
        <x:v>URL</x:v>
      </x:c>
      <x:c r="F4" s="7" t="str">
        <x:v>Model use</x:v>
      </x:c>
    </x:row>
    <x:row r="5" ht="42" customHeight="1">
      <x:c r="A5" s="10" t="str">
        <x:v>S01</x:v>
      </x:c>
      <x:c r="B5" s="10" t="str">
        <x:v>2026-11-01</x:v>
      </x:c>
      <x:c r="C5" s="10" t="str">
        <x:v>&gt;9,000 paying restaurants; &gt;2m monthly orders; ~$50m monthly restaurant GMV</x:v>
      </x:c>
      <x:c r="D5" s="10" t="str">
        <x:v>CEO interview</x:v>
      </x:c>
      <x:c r="E5" s="10" t="str">
        <x:v>https://thenextweb.com/news/choice-ai-restaurant-manager-exclusive</x:v>
      </x:c>
      <x:c r="F5" s="10" t="str">
        <x:v>Base factual operating counts, not audited</x:v>
      </x:c>
    </x:row>
    <x:row r="6" ht="42" customHeight="1">
      <x:c r="A6" s="10" t="str">
        <x:v>S02</x:v>
      </x:c>
      <x:c r="B6" s="10" t="str">
        <x:v>2026-03-16</x:v>
      </x:c>
      <x:c r="C6" s="10" t="str">
        <x:v>$7.1m Series A; ~$11.6m total disclosed financing; &gt;7,000 paying sites</x:v>
      </x:c>
      <x:c r="D6" s="10" t="str">
        <x:v>Press reporting</x:v>
      </x:c>
      <x:c r="E6" s="10" t="str">
        <x:v>https://tech.eu/2026/03/16/choice-secures-71m-series-a-to-expand-its-restaurant-operating-system-across-europe/</x:v>
      </x:c>
      <x:c r="F6" s="10" t="str">
        <x:v>Historical financing / traction</x:v>
      </x:c>
    </x:row>
    <x:row r="7" ht="42" customHeight="1">
      <x:c r="A7" s="10" t="str">
        <x:v>S03</x:v>
      </x:c>
      <x:c r="B7" s="10" t="str">
        <x:v>2026-11-01</x:v>
      </x:c>
      <x:c r="C7" s="10" t="str">
        <x:v>Own product page: QR payment does not add Choice fee; bank acquiring is separate</x:v>
      </x:c>
      <x:c r="D7" s="10" t="str">
        <x:v>Company pricing claim</x:v>
      </x:c>
      <x:c r="E7" s="10" t="str">
        <x:v>https://choiceqr.com/products-en/qr-payments-at-the-table/</x:v>
      </x:c>
      <x:c r="F7" s="10" t="str">
        <x:v>Do not infer net take rate from GMV</x:v>
      </x:c>
    </x:row>
    <x:row r="8" ht="42" customHeight="1">
      <x:c r="A8" s="10" t="str">
        <x:v>S04</x:v>
      </x:c>
      <x:c r="B8" s="10" t="str">
        <x:v>2026-11-01</x:v>
      </x:c>
      <x:c r="C8" s="10" t="str">
        <x:v>Public pages show plan pricing, may vary by region and billing cycle</x:v>
      </x:c>
      <x:c r="D8" s="10" t="str">
        <x:v>Company pricing claim</x:v>
      </x:c>
      <x:c r="E8" s="10" t="str">
        <x:v>https://choiceqr.com/us/preise/</x:v>
      </x:c>
      <x:c r="F8" s="10" t="str">
        <x:v>Only context for assumption ranges</x:v>
      </x:c>
    </x:row>
    <x:row r="9" ht="42" customHeight="1">
      <x:c r="A9" s="10" t="str">
        <x:v>S05</x:v>
      </x:c>
      <x:c r="B9" s="10" t="str">
        <x:v>2026-11-01</x:v>
      </x:c>
      <x:c r="C9" s="10" t="str">
        <x:v>Venture Growth detail page: $3m+ ARR, 5%+ stake, &gt;3x LTV/CAC</x:v>
      </x:c>
      <x:c r="D9" s="10" t="str">
        <x:v>Firm official page</x:v>
      </x:c>
      <x:c r="E9" s="10" t="str">
        <x:v>https://flashpoint.capital/products/venture-growth</x:v>
      </x:c>
      <x:c r="F9" s="10" t="str">
        <x:v>Underwriting threshold</x:v>
      </x:c>
    </x:row>
    <x:row r="10" ht="42" customHeight="1">
      <x:c r="A10" s="10" t="str">
        <x:v>S06</x:v>
      </x:c>
      <x:c r="B10" s="10" t="str">
        <x:v>2026-11-01</x:v>
      </x:c>
      <x:c r="C10" s="10" t="str">
        <x:v>Flashpoint general page shows $1m+ ARR, inconsistent with detailed page</x:v>
      </x:c>
      <x:c r="D10" s="10" t="str">
        <x:v>Firm official page</x:v>
      </x:c>
      <x:c r="E10" s="10" t="str">
        <x:v>https://flashpoint.capital/products</x:v>
      </x:c>
      <x:c r="F10" s="10" t="str">
        <x:v>Disclose inconsistency and conservatively use $3m+</x:v>
      </x:c>
    </x:row>
    <x:row r="11" ht="42" customHeight="1">
      <x:c r="A11" s="10" t="str">
        <x:v>S07</x:v>
      </x:c>
      <x:c r="B11" s="10" t="str">
        <x:v>2026-11-01</x:v>
      </x:c>
      <x:c r="C11" s="10" t="str">
        <x:v>Google prohibits selective solicitation of positive reviews</x:v>
      </x:c>
      <x:c r="D11" s="10" t="str">
        <x:v>Platform policy</x:v>
      </x:c>
      <x:c r="E11" s="10" t="str">
        <x:v>https://support.google.com/contributionpolicy/answer/7400114?hl=en</x:v>
      </x:c>
      <x:c r="F11" s="10" t="str">
        <x:v>Open compliance diligence, not allegation</x:v>
      </x:c>
    </x:row>
    <x:row r="12" ht="42" customHeight="1">
      <x:c r="A12" s="10" t="str">
        <x:v>S08</x:v>
      </x:c>
      <x:c r="B12" s="10" t="str">
        <x:v>2026-11-01</x:v>
      </x:c>
      <x:c r="C12" s="10" t="str">
        <x:v>Choice valuation $25m-50m range and FY revenue $1m-10m are aggregate profile ranges; NOT deal terms</x:v>
      </x:c>
      <x:c r="D12" s="10" t="str">
        <x:v>Unverified aggregator range</x:v>
      </x:c>
      <x:c r="E12" s="10" t="str">
        <x:v>https://dealroom.co/companies/choice/</x:v>
      </x:c>
      <x:c r="F12" s="10" t="str">
        <x:v>Price discussion context only, no company verification</x:v>
      </x:c>
    </x:row>
  </x:sheetData>
  <x:mergeCells>
    <x:mergeCell ref="A1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51" hidden="0" customWidth="1"/>
    <x:col min="2" max="2" width="18" hidden="0" customWidth="1"/>
    <x:col min="3" max="3" width="18" hidden="0" customWidth="1"/>
    <x:col min="4" max="4" width="18" hidden="0" customWidth="1"/>
    <x:col min="5" max="5" width="35" hidden="0" customWidth="1"/>
    <x:col min="6" max="6" width="30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4" customHeight="1">
      <x:c r="A1" s="3" t="str">
        <x:v>PUBLIC INPUTS &amp; ANALYST ASSUMPTIONS</x:v>
      </x:c>
      <x:c r="B1" s="3"/>
      <x:c r="C1" s="3"/>
      <x:c r="D1" s="3"/>
      <x:c r="E1" s="3"/>
      <x:c r="F1" s="3"/>
    </x:row>
    <x:row r="2" ht="24" customHeight="1">
      <x:c r="A2" s="3"/>
      <x:c r="B2" s="3"/>
      <x:c r="C2" s="3"/>
      <x:c r="D2" s="3"/>
      <x:c r="E2" s="3"/>
      <x:c r="F2" s="3"/>
    </x:row>
    <x:row r="4" ht="23" customHeight="1">
      <x:c r="A4" s="7" t="str">
        <x:v>PUBLIC / COMPANY-REPORTED DATA (NOT AUDITED)</x:v>
      </x:c>
      <x:c r="B4" s="7"/>
      <x:c r="C4" s="7"/>
      <x:c r="D4" s="7"/>
      <x:c r="E4" s="7"/>
      <x:c r="F4" s="7"/>
    </x:row>
    <x:row r="5">
      <x:c r="A5" t="str">
        <x:v>Paying restaurants, Oct 2026 floor</x:v>
      </x:c>
      <x:c r="B5" s="14" t="n">
        <x:v>9000</x:v>
      </x:c>
      <x:c r="C5" t="str">
        <x:v>count</x:v>
      </x:c>
      <x:c r="D5" t="str">
        <x:v>S01</x:v>
      </x:c>
      <x:c r="E5" t="str">
        <x:v>Management-reported floor</x:v>
      </x:c>
      <x:c r="F5" t="str"/>
    </x:row>
    <x:row r="6">
      <x:c r="A6" t="str">
        <x:v>Monthly restaurant-platform GMV</x:v>
      </x:c>
      <x:c r="B6" s="14" t="n">
        <x:v>50</x:v>
      </x:c>
      <x:c r="C6" t="str">
        <x:v>USD m</x:v>
      </x:c>
      <x:c r="D6" t="str">
        <x:v>S01</x:v>
      </x:c>
      <x:c r="E6" t="str">
        <x:v>Not Choice's company revenue</x:v>
      </x:c>
      <x:c r="F6" t="str"/>
    </x:row>
    <x:row r="7">
      <x:c r="A7" t="str">
        <x:v>Monthly platform orders, Oct 2026 floor</x:v>
      </x:c>
      <x:c r="B7" s="14" t="n">
        <x:v>2000000</x:v>
      </x:c>
      <x:c r="C7" t="str">
        <x:v>orders</x:v>
      </x:c>
      <x:c r="D7" t="str">
        <x:v>S01</x:v>
      </x:c>
      <x:c r="E7" t="str">
        <x:v>Not company bookings revenue</x:v>
      </x:c>
      <x:c r="F7" t="str"/>
    </x:row>
    <x:row r="8">
      <x:c r="A8" t="str">
        <x:v>March 2026 Series A</x:v>
      </x:c>
      <x:c r="B8" s="14" t="n">
        <x:v>7.1</x:v>
      </x:c>
      <x:c r="C8" t="str">
        <x:v>USD m</x:v>
      </x:c>
      <x:c r="D8" t="str">
        <x:v>S02</x:v>
      </x:c>
      <x:c r="E8" t="str">
        <x:v>Not entry valuation</x:v>
      </x:c>
      <x:c r="F8" t="str"/>
    </x:row>
    <x:row r="11" ht="23" customHeight="1">
      <x:c r="A11" s="7" t="str">
        <x:v>SCENARIO ASSUMPTIONS, ALL ILLUSTRATIVE</x:v>
      </x:c>
      <x:c r="B11" s="7"/>
      <x:c r="C11" s="7"/>
      <x:c r="D11" s="7"/>
      <x:c r="E11" s="7"/>
      <x:c r="F11" s="7"/>
    </x:row>
    <x:row r="12">
      <x:c r="A12" s="25" t="str">
        <x:v>Assumption</x:v>
      </x:c>
      <x:c r="B12" s="25" t="str">
        <x:v>Bear</x:v>
      </x:c>
      <x:c r="C12" s="25" t="str">
        <x:v>Base</x:v>
      </x:c>
      <x:c r="D12" s="25" t="str">
        <x:v>Bull</x:v>
      </x:c>
      <x:c r="E12" s="25" t="str">
        <x:v>Units</x:v>
      </x:c>
    </x:row>
    <x:row r="13">
      <x:c r="A13" t="str">
        <x:v>Initial effective monthly subscription ARPA</x:v>
      </x:c>
      <x:c r="B13" s="14" t="n">
        <x:v>25</x:v>
      </x:c>
      <x:c r="C13" s="14" t="n">
        <x:v>40</x:v>
      </x:c>
      <x:c r="D13" s="14" t="n">
        <x:v>65</x:v>
      </x:c>
      <x:c r="E13" t="str">
        <x:v>USD / paying restaurant</x:v>
      </x:c>
    </x:row>
    <x:row r="14">
      <x:c r="A14" t="str">
        <x:v>Gross new paying restaurants, 2027 %</x:v>
      </x:c>
      <x:c r="B14" s="18" t="n">
        <x:v>0.25</x:v>
      </x:c>
      <x:c r="C14" s="18" t="n">
        <x:v>0.55</x:v>
      </x:c>
      <x:c r="D14" s="18" t="n">
        <x:v>0.66</x:v>
      </x:c>
      <x:c r="E14" t="str">
        <x:v>% of beginning-year customers</x:v>
      </x:c>
    </x:row>
    <x:row r="15">
      <x:c r="A15" t="str">
        <x:v>New restaurant acquisition rate decline per year</x:v>
      </x:c>
      <x:c r="B15" s="18" t="n">
        <x:v>0.03</x:v>
      </x:c>
      <x:c r="C15" s="18" t="n">
        <x:v>0.04</x:v>
      </x:c>
      <x:c r="D15" s="18" t="n">
        <x:v>0.05</x:v>
      </x:c>
      <x:c r="E15" t="str">
        <x:v>percentage points</x:v>
      </x:c>
    </x:row>
    <x:row r="16">
      <x:c r="A16" t="str">
        <x:v>Minimum annual gross new rate</x:v>
      </x:c>
      <x:c r="B16" s="18" t="n">
        <x:v>0.05</x:v>
      </x:c>
      <x:c r="C16" s="18" t="n">
        <x:v>0.12</x:v>
      </x:c>
      <x:c r="D16" s="18" t="n">
        <x:v>0.15</x:v>
      </x:c>
      <x:c r="E16" t="str">
        <x:v>annual rate</x:v>
      </x:c>
    </x:row>
    <x:row r="17">
      <x:c r="A17" t="str">
        <x:v>Annual restaurant logo churn</x:v>
      </x:c>
      <x:c r="B17" s="18" t="n">
        <x:v>0.2</x:v>
      </x:c>
      <x:c r="C17" s="18" t="n">
        <x:v>0.12</x:v>
      </x:c>
      <x:c r="D17" s="18" t="n">
        <x:v>0.08</x:v>
      </x:c>
      <x:c r="E17" t="str">
        <x:v>annual rate</x:v>
      </x:c>
    </x:row>
    <x:row r="18">
      <x:c r="A18" t="str">
        <x:v>Annual monthly ARPA growth</x:v>
      </x:c>
      <x:c r="B18" s="18" t="n">
        <x:v>-0.01</x:v>
      </x:c>
      <x:c r="C18" s="18" t="n">
        <x:v>0.03</x:v>
      </x:c>
      <x:c r="D18" s="18" t="n">
        <x:v>0.06</x:v>
      </x:c>
      <x:c r="E18" t="str">
        <x:v>annual rate</x:v>
      </x:c>
    </x:row>
    <x:row r="19">
      <x:c r="A19" t="str">
        <x:v>Recurring gross margin</x:v>
      </x:c>
      <x:c r="B19" s="18" t="n">
        <x:v>0.63</x:v>
      </x:c>
      <x:c r="C19" s="18" t="n">
        <x:v>0.78</x:v>
      </x:c>
      <x:c r="D19" s="18" t="n">
        <x:v>0.84</x:v>
      </x:c>
      <x:c r="E19" t="str">
        <x:v>% of subscription revenue</x:v>
      </x:c>
    </x:row>
    <x:row r="20">
      <x:c r="A20" t="str">
        <x:v>2027 sales &amp; marketing / modeled revenue</x:v>
      </x:c>
      <x:c r="B20" s="18" t="n">
        <x:v>0.9</x:v>
      </x:c>
      <x:c r="C20" s="18" t="n">
        <x:v>0.63</x:v>
      </x:c>
      <x:c r="D20" s="18" t="n">
        <x:v>0.55</x:v>
      </x:c>
      <x:c r="E20" t="str">
        <x:v>ratio</x:v>
      </x:c>
    </x:row>
    <x:row r="21">
      <x:c r="A21" t="str">
        <x:v>S&amp;M ratio decline per year</x:v>
      </x:c>
      <x:c r="B21" s="18" t="n">
        <x:v>0.04</x:v>
      </x:c>
      <x:c r="C21" s="18" t="n">
        <x:v>0.06</x:v>
      </x:c>
      <x:c r="D21" s="18" t="n">
        <x:v>0.05</x:v>
      </x:c>
      <x:c r="E21" t="str">
        <x:v>percentage points</x:v>
      </x:c>
    </x:row>
    <x:row r="22">
      <x:c r="A22" t="str">
        <x:v>S&amp;M minimum ratio</x:v>
      </x:c>
      <x:c r="B22" s="18" t="n">
        <x:v>0.48</x:v>
      </x:c>
      <x:c r="C22" s="18" t="n">
        <x:v>0.24</x:v>
      </x:c>
      <x:c r="D22" s="18" t="n">
        <x:v>0.2</x:v>
      </x:c>
      <x:c r="E22" t="str">
        <x:v>ratio</x:v>
      </x:c>
    </x:row>
    <x:row r="23">
      <x:c r="A23" t="str">
        <x:v>2027 R&amp;D / modeled revenue</x:v>
      </x:c>
      <x:c r="B23" s="18" t="n">
        <x:v>0.6</x:v>
      </x:c>
      <x:c r="C23" s="18" t="n">
        <x:v>0.42</x:v>
      </x:c>
      <x:c r="D23" s="18" t="n">
        <x:v>0.34</x:v>
      </x:c>
      <x:c r="E23" t="str">
        <x:v>ratio</x:v>
      </x:c>
    </x:row>
    <x:row r="24">
      <x:c r="A24" t="str">
        <x:v>R&amp;D ratio decline per year</x:v>
      </x:c>
      <x:c r="B24" s="18" t="n">
        <x:v>0.04</x:v>
      </x:c>
      <x:c r="C24" s="18" t="n">
        <x:v>0.035</x:v>
      </x:c>
      <x:c r="D24" s="18" t="n">
        <x:v>0.035</x:v>
      </x:c>
      <x:c r="E24" t="str">
        <x:v>percentage points</x:v>
      </x:c>
    </x:row>
    <x:row r="25">
      <x:c r="A25" t="str">
        <x:v>R&amp;D minimum ratio</x:v>
      </x:c>
      <x:c r="B25" s="18" t="n">
        <x:v>0.26</x:v>
      </x:c>
      <x:c r="C25" s="18" t="n">
        <x:v>0.18</x:v>
      </x:c>
      <x:c r="D25" s="18" t="n">
        <x:v>0.15</x:v>
      </x:c>
      <x:c r="E25" t="str">
        <x:v>ratio</x:v>
      </x:c>
    </x:row>
    <x:row r="26">
      <x:c r="A26" t="str">
        <x:v>2027 G&amp;A / modeled revenue</x:v>
      </x:c>
      <x:c r="B26" s="18" t="n">
        <x:v>0.34</x:v>
      </x:c>
      <x:c r="C26" s="18" t="n">
        <x:v>0.25</x:v>
      </x:c>
      <x:c r="D26" s="18" t="n">
        <x:v>0.21</x:v>
      </x:c>
      <x:c r="E26" t="str">
        <x:v>ratio</x:v>
      </x:c>
    </x:row>
    <x:row r="27">
      <x:c r="A27" t="str">
        <x:v>G&amp;A ratio decline per year</x:v>
      </x:c>
      <x:c r="B27" s="18" t="n">
        <x:v>0.02</x:v>
      </x:c>
      <x:c r="C27" s="18" t="n">
        <x:v>0.015</x:v>
      </x:c>
      <x:c r="D27" s="18" t="n">
        <x:v>0.012</x:v>
      </x:c>
      <x:c r="E27" t="str">
        <x:v>percentage points</x:v>
      </x:c>
    </x:row>
    <x:row r="28">
      <x:c r="A28" t="str">
        <x:v>G&amp;A minimum ratio</x:v>
      </x:c>
      <x:c r="B28" s="18" t="n">
        <x:v>0.18</x:v>
      </x:c>
      <x:c r="C28" s="18" t="n">
        <x:v>0.12</x:v>
      </x:c>
      <x:c r="D28" s="18" t="n">
        <x:v>0.1</x:v>
      </x:c>
      <x:c r="E28" t="str">
        <x:v>ratio</x:v>
      </x:c>
    </x:row>
    <x:row r="29">
      <x:c r="A29" t="str">
        <x:v>2033 exit multiple, modeled annual revenue</x:v>
      </x:c>
      <x:c r="B29" s="20" t="n">
        <x:v>2.5</x:v>
      </x:c>
      <x:c r="C29" s="20" t="n">
        <x:v>5</x:v>
      </x:c>
      <x:c r="D29" s="20" t="n">
        <x:v>7</x:v>
      </x:c>
      <x:c r="E29" t="str">
        <x:v>x revenue</x:v>
      </x:c>
    </x:row>
    <x:row r="30">
      <x:c r="A30" t="str">
        <x:v>Annual GMV per restaurant growth</x:v>
      </x:c>
      <x:c r="B30" s="18" t="n">
        <x:v>-0.02</x:v>
      </x:c>
      <x:c r="C30" s="18" t="n">
        <x:v>0.03</x:v>
      </x:c>
      <x:c r="D30" s="18" t="n">
        <x:v>0.08</x:v>
      </x:c>
      <x:c r="E30" t="str">
        <x:v>annual rate</x:v>
      </x:c>
    </x:row>
    <x:row r="31">
      <x:c r="A31" t="str">
        <x:v>Verified net Choice take rate on eligible GMV</x:v>
      </x:c>
      <x:c r="B31" s="18" t="n">
        <x:v>0</x:v>
      </x:c>
      <x:c r="C31" s="18" t="n">
        <x:v>0</x:v>
      </x:c>
      <x:c r="D31" s="18" t="n">
        <x:v>0</x:v>
      </x:c>
      <x:c r="E31" t="str">
        <x:v>assumed 0 until proof</x:v>
      </x:c>
    </x:row>
    <x:row r="32">
      <x:c r="A32" t="str">
        <x:v>Share of restaurant GMV eligible for take rate</x:v>
      </x:c>
      <x:c r="B32" s="18" t="n">
        <x:v>0</x:v>
      </x:c>
      <x:c r="C32" s="18" t="n">
        <x:v>0</x:v>
      </x:c>
      <x:c r="D32" s="18" t="n">
        <x:v>0</x:v>
      </x:c>
      <x:c r="E32" t="str">
        <x:v>assumed 0 until proof</x:v>
      </x:c>
    </x:row>
    <x:row r="33">
      <x:c r="A33" t="str">
        <x:v>Exit fees / transaction costs</x:v>
      </x:c>
      <x:c r="B33" s="18" t="n">
        <x:v>0.03</x:v>
      </x:c>
      <x:c r="C33" s="18" t="n">
        <x:v>0.03</x:v>
      </x:c>
      <x:c r="D33" s="18" t="n">
        <x:v>0.03</x:v>
      </x:c>
      <x:c r="E33" t="str">
        <x:v>% of exit EV proxy</x:v>
      </x:c>
    </x:row>
    <x:row r="34">
      <x:c r="A34" t="str">
        <x:v>Other monetization contribution margin</x:v>
      </x:c>
      <x:c r="B34" s="18" t="n">
        <x:v>0.6</x:v>
      </x:c>
      <x:c r="C34" s="18" t="n">
        <x:v>0.6</x:v>
      </x:c>
      <x:c r="D34" s="18" t="n">
        <x:v>0.6</x:v>
      </x:c>
      <x:c r="E34" t="str">
        <x:v>hypothetical, unused</x:v>
      </x:c>
    </x:row>
    <x:row r="35">
      <x:c r="A35" t="str">
        <x:v>Assumed average customer acquisition cost</x:v>
      </x:c>
      <x:c r="B35" s="22" t="n">
        <x:v>750</x:v>
      </x:c>
      <x:c r="C35" s="22" t="n">
        <x:v>500</x:v>
      </x:c>
      <x:c r="D35" s="22" t="n">
        <x:v>350</x:v>
      </x:c>
      <x:c r="E35" t="str">
        <x:v>USD per paying restaurant</x:v>
      </x:c>
    </x:row>
    <x:row r="37">
      <x:c r="A37" s="16" t="str">
        <x:v>BLUE/yellow cells are editable inputs. Values are analytical scenarios, NOT management guidance. Net payment economics are zero across cases until documented contractual evidence supports otherwise.</x:v>
      </x:c>
      <x:c r="B37" s="16"/>
      <x:c r="C37" s="16"/>
      <x:c r="D37" s="16"/>
      <x:c r="E37" s="16"/>
      <x:c r="F37" s="16"/>
    </x:row>
    <x:row r="38">
      <x:c r="A38" s="16"/>
      <x:c r="B38" s="16"/>
      <x:c r="C38" s="16"/>
      <x:c r="D38" s="16"/>
      <x:c r="E38" s="16"/>
      <x:c r="F38" s="16"/>
    </x:row>
    <x:row r="39">
      <x:c r="A39" s="16"/>
      <x:c r="B39" s="16"/>
      <x:c r="C39" s="16"/>
      <x:c r="D39" s="16"/>
      <x:c r="E39" s="16"/>
      <x:c r="F39" s="16"/>
    </x:row>
  </x:sheetData>
  <x:mergeCells>
    <x:mergeCell ref="A1:F2"/>
    <x:mergeCell ref="A4:F4"/>
    <x:mergeCell ref="A11:F11"/>
    <x:mergeCell ref="A37:F3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6" hidden="0" customWidth="1"/>
  </x:cols>
  <x:sheetData>
    <x:row r="1" ht="24" customHeight="1">
      <x:c r="A1" s="3" t="str">
        <x:v>CHOICE | BEAR OPERATING FORECAST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35" customHeight="1">
      <x:c r="A3" s="10" t="str">
        <x:v>Year 2026 is an October point-in-time run-rate baseline. 2027-33 figures are illustrative forecasts. All USD amounts are millions unless stated.</x:v>
      </x:c>
      <x:c r="B3" s="10"/>
      <x:c r="C3" s="10"/>
      <x:c r="D3" s="10"/>
      <x:c r="E3" s="10"/>
      <x:c r="F3" s="10"/>
      <x:c r="G3" s="10"/>
      <x:c r="H3" s="10"/>
      <x:c r="I3" s="10"/>
    </x:row>
    <x:row r="4">
      <x:c r="A4" s="25" t="str">
        <x:v>Metric</x:v>
      </x:c>
      <x:c r="B4" s="25" t="n">
        <x:v>2026</x:v>
      </x:c>
      <x:c r="C4" s="25" t="n">
        <x:v>2027</x:v>
      </x:c>
      <x:c r="D4" s="25" t="n">
        <x:v>2028</x:v>
      </x:c>
      <x:c r="E4" s="25" t="n">
        <x:v>2029</x:v>
      </x:c>
      <x:c r="F4" s="25" t="n">
        <x:v>2030</x:v>
      </x:c>
      <x:c r="G4" s="25" t="n">
        <x:v>2031</x:v>
      </x:c>
      <x:c r="H4" s="25" t="n">
        <x:v>2032</x:v>
      </x:c>
      <x:c r="I4" s="25" t="n">
        <x:v>2033</x:v>
      </x:c>
    </x:row>
    <x:row r="6">
      <x:c r="A6" t="str">
        <x:v>Paying restaurant locations, year-end</x:v>
      </x:c>
      <x:c r="B6" s="50" t="n">
        <x:f>Assumptions!$B$5</x:f>
        <x:v>9000</x:v>
      </x:c>
      <x:c r="C6" s="50" t="n">
        <x:f>B6+C11</x:f>
        <x:v>9450</x:v>
      </x:c>
      <x:c r="D6" s="50" t="n">
        <x:f>C6+D11</x:f>
        <x:v>9639</x:v>
      </x:c>
      <x:c r="E6" s="50" t="n">
        <x:f>D6+E11</x:f>
        <x:v>9542.61</x:v>
      </x:c>
      <x:c r="F6" s="50" t="n">
        <x:f>E6+F11</x:f>
        <x:v>9160.9056</x:v>
      </x:c>
      <x:c r="G6" s="50" t="n">
        <x:f>F6+G11</x:f>
        <x:v>8519.642208</x:v>
      </x:c>
      <x:c r="H6" s="50" t="n">
        <x:f>G6+H11</x:f>
        <x:v>7667.677987199999</x:v>
      </x:c>
      <x:c r="I6" s="50" t="n">
        <x:f>H6+I11</x:f>
        <x:v>6670.879848863999</x:v>
      </x:c>
    </x:row>
    <x:row r="7">
      <x:c r="A7" t="str">
        <x:v>Gross new customer rate</x:v>
      </x:c>
      <x:c r="B7" s="51"/>
      <x:c r="C7" s="51" t="n">
        <x:f>MAX(Assumptions!$B$16,Assumptions!$B$14-(C$4-2027)*Assumptions!$B$15)</x:f>
        <x:v>0.25</x:v>
      </x:c>
      <x:c r="D7" s="51" t="n">
        <x:f>MAX(Assumptions!$B$16,Assumptions!$B$14-(D$4-2027)*Assumptions!$B$15)</x:f>
        <x:v>0.22</x:v>
      </x:c>
      <x:c r="E7" s="51" t="n">
        <x:f>MAX(Assumptions!$B$16,Assumptions!$B$14-(E$4-2027)*Assumptions!$B$15)</x:f>
        <x:v>0.19</x:v>
      </x:c>
      <x:c r="F7" s="51" t="n">
        <x:f>MAX(Assumptions!$B$16,Assumptions!$B$14-(F$4-2027)*Assumptions!$B$15)</x:f>
        <x:v>0.16</x:v>
      </x:c>
      <x:c r="G7" s="51" t="n">
        <x:f>MAX(Assumptions!$B$16,Assumptions!$B$14-(G$4-2027)*Assumptions!$B$15)</x:f>
        <x:v>0.13</x:v>
      </x:c>
      <x:c r="H7" s="51" t="n">
        <x:f>MAX(Assumptions!$B$16,Assumptions!$B$14-(H$4-2027)*Assumptions!$B$15)</x:f>
        <x:v>0.1</x:v>
      </x:c>
      <x:c r="I7" s="51" t="n">
        <x:f>MAX(Assumptions!$B$16,Assumptions!$B$14-(I$4-2027)*Assumptions!$B$15)</x:f>
        <x:v>0.07</x:v>
      </x:c>
    </x:row>
    <x:row r="8">
      <x:c r="A8" t="str">
        <x:v>Gross new paying restaurants</x:v>
      </x:c>
      <x:c r="B8" s="50"/>
      <x:c r="C8" s="50" t="n">
        <x:f>B6*C7</x:f>
        <x:v>2250</x:v>
      </x:c>
      <x:c r="D8" s="50" t="n">
        <x:f>C6*D7</x:f>
        <x:v>2079</x:v>
      </x:c>
      <x:c r="E8" s="50" t="n">
        <x:f>D6*E7</x:f>
        <x:v>1831.41</x:v>
      </x:c>
      <x:c r="F8" s="50" t="n">
        <x:f>E6*F7</x:f>
        <x:v>1526.8176</x:v>
      </x:c>
      <x:c r="G8" s="50" t="n">
        <x:f>F6*G7</x:f>
        <x:v>1190.9177280000001</x:v>
      </x:c>
      <x:c r="H8" s="50" t="n">
        <x:f>G6*H7</x:f>
        <x:v>851.9642208</x:v>
      </x:c>
      <x:c r="I8" s="50" t="n">
        <x:f>H6*I7</x:f>
        <x:v>536.737459104</x:v>
      </x:c>
    </x:row>
    <x:row r="9">
      <x:c r="A9" t="str">
        <x:v>Annual churn rate</x:v>
      </x:c>
      <x:c r="B9" s="51"/>
      <x:c r="C9" s="51" t="n">
        <x:f>Assumptions!$B$17</x:f>
        <x:v>0.2</x:v>
      </x:c>
      <x:c r="D9" s="51" t="n">
        <x:f>Assumptions!$B$17</x:f>
        <x:v>0.2</x:v>
      </x:c>
      <x:c r="E9" s="51" t="n">
        <x:f>Assumptions!$B$17</x:f>
        <x:v>0.2</x:v>
      </x:c>
      <x:c r="F9" s="51" t="n">
        <x:f>Assumptions!$B$17</x:f>
        <x:v>0.2</x:v>
      </x:c>
      <x:c r="G9" s="51" t="n">
        <x:f>Assumptions!$B$17</x:f>
        <x:v>0.2</x:v>
      </x:c>
      <x:c r="H9" s="51" t="n">
        <x:f>Assumptions!$B$17</x:f>
        <x:v>0.2</x:v>
      </x:c>
      <x:c r="I9" s="51" t="n">
        <x:f>Assumptions!$B$17</x:f>
        <x:v>0.2</x:v>
      </x:c>
    </x:row>
    <x:row r="10">
      <x:c r="A10" t="str">
        <x:v>Churned paying restaurants</x:v>
      </x:c>
      <x:c r="B10" s="50"/>
      <x:c r="C10" s="50" t="n">
        <x:f>B6*C9</x:f>
        <x:v>1800</x:v>
      </x:c>
      <x:c r="D10" s="50" t="n">
        <x:f>C6*D9</x:f>
        <x:v>1890</x:v>
      </x:c>
      <x:c r="E10" s="50" t="n">
        <x:f>D6*E9</x:f>
        <x:v>1927.8000000000002</x:v>
      </x:c>
      <x:c r="F10" s="50" t="n">
        <x:f>E6*F9</x:f>
        <x:v>1908.5220000000002</x:v>
      </x:c>
      <x:c r="G10" s="50" t="n">
        <x:f>F6*G9</x:f>
        <x:v>1832.1811200000002</x:v>
      </x:c>
      <x:c r="H10" s="50" t="n">
        <x:f>G6*H9</x:f>
        <x:v>1703.9284416</x:v>
      </x:c>
      <x:c r="I10" s="50" t="n">
        <x:f>H6*I9</x:f>
        <x:v>1533.53559744</x:v>
      </x:c>
    </x:row>
    <x:row r="11">
      <x:c r="A11" t="str">
        <x:v>Net added paying restaurants</x:v>
      </x:c>
      <x:c r="B11" s="50"/>
      <x:c r="C11" s="50" t="n">
        <x:f>C8-C10</x:f>
        <x:v>450</x:v>
      </x:c>
      <x:c r="D11" s="50" t="n">
        <x:f>D8-D10</x:f>
        <x:v>189</x:v>
      </x:c>
      <x:c r="E11" s="50" t="n">
        <x:f>E8-E10</x:f>
        <x:v>-96.3900000000001</x:v>
      </x:c>
      <x:c r="F11" s="50" t="n">
        <x:f>F8-F10</x:f>
        <x:v>-381.7044000000001</x:v>
      </x:c>
      <x:c r="G11" s="50" t="n">
        <x:f>G8-G10</x:f>
        <x:v>-641.2633920000001</x:v>
      </x:c>
      <x:c r="H11" s="50" t="n">
        <x:f>H8-H10</x:f>
        <x:v>-851.9642208</x:v>
      </x:c>
      <x:c r="I11" s="50" t="n">
        <x:f>I8-I10</x:f>
        <x:v>-996.798138336</x:v>
      </x:c>
    </x:row>
    <x:row r="12">
      <x:c r="A12" t="str">
        <x:v>Effective monthly subscription ARPA (USD)</x:v>
      </x:c>
      <x:c r="B12" s="52" t="n">
        <x:f>Assumptions!$B$13</x:f>
        <x:v>25</x:v>
      </x:c>
      <x:c r="C12" s="52" t="n">
        <x:f>B12*(1+Assumptions!$B$18)</x:f>
        <x:v>24.75</x:v>
      </x:c>
      <x:c r="D12" s="52" t="n">
        <x:f>C12*(1+Assumptions!$B$18)</x:f>
        <x:v>24.5025</x:v>
      </x:c>
      <x:c r="E12" s="52" t="n">
        <x:f>D12*(1+Assumptions!$B$18)</x:f>
        <x:v>24.257475</x:v>
      </x:c>
      <x:c r="F12" s="52" t="n">
        <x:f>E12*(1+Assumptions!$B$18)</x:f>
        <x:v>24.01490025</x:v>
      </x:c>
      <x:c r="G12" s="52" t="n">
        <x:f>F12*(1+Assumptions!$B$18)</x:f>
        <x:v>23.7747512475</x:v>
      </x:c>
      <x:c r="H12" s="52" t="n">
        <x:f>G12*(1+Assumptions!$B$18)</x:f>
        <x:v>23.537003735025</x:v>
      </x:c>
      <x:c r="I12" s="52" t="n">
        <x:f>H12*(1+Assumptions!$B$18)</x:f>
        <x:v>23.30163369767475</x:v>
      </x:c>
    </x:row>
    <x:row r="13">
      <x:c r="A13" s="38" t="str">
        <x:v>Annualized year-end subscription run rate ($m)</x:v>
      </x:c>
      <x:c r="B13" s="53" t="n">
        <x:f>B6*B12*12/1000000</x:f>
        <x:v>2.7</x:v>
      </x:c>
      <x:c r="C13" s="53" t="n">
        <x:f>C6*C12*12/1000000</x:f>
        <x:v>2.80665</x:v>
      </x:c>
      <x:c r="D13" s="53" t="n">
        <x:f>D6*D12*12/1000000</x:f>
        <x:v>2.83415517</x:v>
      </x:c>
      <x:c r="E13" s="53" t="n">
        <x:f>E6*E12*12/1000000</x:f>
        <x:v>2.777755482117</x:v>
      </x:c>
      <x:c r="F13" s="53" t="n">
        <x:f>F6*F12*12/1000000</x:f>
        <x:v>2.639978810203997</x:v>
      </x:c>
      <x:c r="G13" s="53" t="n">
        <x:f>G6*G12*12/1000000</x:f>
        <x:v>2.43062849055482</x:v>
      </x:c>
      <x:c r="H13" s="53" t="n">
        <x:f>H6*H12*12/1000000</x:f>
        <x:v>2.1656899850843443</x:v>
      </x:c>
      <x:c r="I13" s="53" t="n">
        <x:f>I6*I12*12/1000000</x:f>
        <x:v>1.8653087841531455</x:v>
      </x:c>
    </x:row>
    <x:row r="14">
      <x:c r="A14" t="str">
        <x:v>Average paying locations (fiscal year)</x:v>
      </x:c>
      <x:c r="B14" s="50"/>
      <x:c r="C14" s="50" t="n">
        <x:f>AVERAGE(B6,C6)</x:f>
        <x:v>9225</x:v>
      </x:c>
      <x:c r="D14" s="50" t="n">
        <x:f>AVERAGE(C6,D6)</x:f>
        <x:v>9544.5</x:v>
      </x:c>
      <x:c r="E14" s="50" t="n">
        <x:f>AVERAGE(D6,E6)</x:f>
        <x:v>9590.805</x:v>
      </x:c>
      <x:c r="F14" s="50" t="n">
        <x:f>AVERAGE(E6,F6)</x:f>
        <x:v>9351.7578</x:v>
      </x:c>
      <x:c r="G14" s="50" t="n">
        <x:f>AVERAGE(F6,G6)</x:f>
        <x:v>8840.273904</x:v>
      </x:c>
      <x:c r="H14" s="50" t="n">
        <x:f>AVERAGE(G6,H6)</x:f>
        <x:v>8093.660097599999</x:v>
      </x:c>
      <x:c r="I14" s="50" t="n">
        <x:f>AVERAGE(H6,I6)</x:f>
        <x:v>7169.278918031999</x:v>
      </x:c>
    </x:row>
    <x:row r="15">
      <x:c r="A15" t="str">
        <x:v>Average effective ARPA (USD)</x:v>
      </x:c>
      <x:c r="B15" s="52"/>
      <x:c r="C15" s="52" t="n">
        <x:f>AVERAGE(B12,C12)</x:f>
        <x:v>24.875</x:v>
      </x:c>
      <x:c r="D15" s="52" t="n">
        <x:f>AVERAGE(C12,D12)</x:f>
        <x:v>24.62625</x:v>
      </x:c>
      <x:c r="E15" s="52" t="n">
        <x:f>AVERAGE(D12,E12)</x:f>
        <x:v>24.3799875</x:v>
      </x:c>
      <x:c r="F15" s="52" t="n">
        <x:f>AVERAGE(E12,F12)</x:f>
        <x:v>24.136187624999998</x:v>
      </x:c>
      <x:c r="G15" s="52" t="n">
        <x:f>AVERAGE(F12,G12)</x:f>
        <x:v>23.89482574875</x:v>
      </x:c>
      <x:c r="H15" s="52" t="n">
        <x:f>AVERAGE(G12,H12)</x:f>
        <x:v>23.6558774912625</x:v>
      </x:c>
      <x:c r="I15" s="52" t="n">
        <x:f>AVERAGE(H12,I12)</x:f>
        <x:v>23.419318716349874</x:v>
      </x:c>
    </x:row>
    <x:row r="16">
      <x:c r="A16" s="38" t="str">
        <x:v>Recognized subscription revenue, modeled ($m)</x:v>
      </x:c>
      <x:c r="B16" s="53"/>
      <x:c r="C16" s="53" t="n">
        <x:f>C14*C15*12/1000000</x:f>
        <x:v>2.7536625</x:v>
      </x:c>
      <x:c r="D16" s="53" t="n">
        <x:f>D14*D15*12/1000000</x:f>
        <x:v>2.8205429174999996</x:v>
      </x:c>
      <x:c r="E16" s="53" t="n">
        <x:f>E14*E15*12/1000000</x:f>
        <x:v>2.8058844721792497</x:v>
      </x:c>
      <x:c r="F16" s="53" t="n">
        <x:f>F14*F15*12/1000000</x:f>
        <x:v>2.7085893706122866</x:v>
      </x:c>
      <x:c r="G16" s="53" t="n">
        <x:f>G14*G15*12/1000000</x:f>
        <x:v>2.534841654087623</x:v>
      </x:c>
      <x:c r="H16" s="53" t="n">
        <x:f>H14*H15*12/1000000</x:f>
        <x:v>2.2975515806969433</x:v>
      </x:c>
      <x:c r="I16" s="53" t="n">
        <x:f>I14*I15*12/1000000</x:f>
        <x:v>2.0147955353735925</x:v>
      </x:c>
    </x:row>
    <x:row r="17">
      <x:c r="A17" t="str">
        <x:v>Platform restaurant GMV annualized/forecast ($m)</x:v>
      </x:c>
      <x:c r="B17" s="52" t="n">
        <x:f>Assumptions!$B$6*12</x:f>
        <x:v>600</x:v>
      </x:c>
      <x:c r="C17" s="52" t="n">
        <x:f>$B$17*(C14/$B$6)*(1+Assumptions!$B$30)^(C$4-2026)</x:f>
        <x:v>602.7</x:v>
      </x:c>
      <x:c r="D17" s="52" t="n">
        <x:f>$B$17*(D14/$B$6)*(1+Assumptions!$B$30)^(D$4-2026)</x:f>
        <x:v>611.1025199999999</x:v>
      </x:c>
      <x:c r="E17" s="52" t="n">
        <x:f>$B$17*(E14/$B$6)*(1+Assumptions!$B$30)^(E$4-2026)</x:f>
        <x:v>601.7859293039999</x:v>
      </x:c>
      <x:c r="F17" s="52" t="n">
        <x:f>$B$17*(F14/$B$6)*(1+Assumptions!$B$30)^(F$4-2026)</x:f>
        <x:v>575.0509089834432</x:v>
      </x:c>
      <x:c r="G17" s="52" t="n">
        <x:f>$B$17*(G14/$B$6)*(1+Assumptions!$B$30)^(G$4-2026)</x:f>
        <x:v>532.7271620822617</x:v>
      </x:c>
      <x:c r="H17" s="52" t="n">
        <x:f>$B$17*(H14/$B$6)*(1+Assumptions!$B$30)^(H$4-2026)</x:f>
        <x:v>477.9804753841291</x:v>
      </x:c>
      <x:c r="I17" s="52" t="n">
        <x:f>$B$17*(I14/$B$6)*(1+Assumptions!$B$30)^(I$4-2026)</x:f>
        <x:v>414.9222722473997</x:v>
      </x:c>
    </x:row>
    <x:row r="18">
      <x:c r="A18" t="str">
        <x:v>Eligible GMV share, UNVERIFIED</x:v>
      </x:c>
      <x:c r="B18" s="51"/>
      <x:c r="C18" s="51" t="n">
        <x:f>Assumptions!$B$32</x:f>
        <x:v>0</x:v>
      </x:c>
      <x:c r="D18" s="51" t="n">
        <x:f>Assumptions!$B$32</x:f>
        <x:v>0</x:v>
      </x:c>
      <x:c r="E18" s="51" t="n">
        <x:f>Assumptions!$B$32</x:f>
        <x:v>0</x:v>
      </x:c>
      <x:c r="F18" s="51" t="n">
        <x:f>Assumptions!$B$32</x:f>
        <x:v>0</x:v>
      </x:c>
      <x:c r="G18" s="51" t="n">
        <x:f>Assumptions!$B$32</x:f>
        <x:v>0</x:v>
      </x:c>
      <x:c r="H18" s="51" t="n">
        <x:f>Assumptions!$B$32</x:f>
        <x:v>0</x:v>
      </x:c>
      <x:c r="I18" s="51" t="n">
        <x:f>Assumptions!$B$32</x:f>
        <x:v>0</x:v>
      </x:c>
    </x:row>
    <x:row r="19">
      <x:c r="A19" t="str">
        <x:v>Net company take rate, UNVERIFIED</x:v>
      </x:c>
      <x:c r="B19" s="51"/>
      <x:c r="C19" s="51" t="n">
        <x:f>Assumptions!$B$31</x:f>
        <x:v>0</x:v>
      </x:c>
      <x:c r="D19" s="51" t="n">
        <x:f>Assumptions!$B$31</x:f>
        <x:v>0</x:v>
      </x:c>
      <x:c r="E19" s="51" t="n">
        <x:f>Assumptions!$B$31</x:f>
        <x:v>0</x:v>
      </x:c>
      <x:c r="F19" s="51" t="n">
        <x:f>Assumptions!$B$31</x:f>
        <x:v>0</x:v>
      </x:c>
      <x:c r="G19" s="51" t="n">
        <x:f>Assumptions!$B$31</x:f>
        <x:v>0</x:v>
      </x:c>
      <x:c r="H19" s="51" t="n">
        <x:f>Assumptions!$B$31</x:f>
        <x:v>0</x:v>
      </x:c>
      <x:c r="I19" s="51" t="n">
        <x:f>Assumptions!$B$31</x:f>
        <x:v>0</x:v>
      </x:c>
    </x:row>
    <x:row r="20">
      <x:c r="A20" t="str">
        <x:v>Modeled other monetization revenue ($m)</x:v>
      </x:c>
      <x:c r="B20" s="52"/>
      <x:c r="C20" s="52" t="n">
        <x:f>C17*C18*C19</x:f>
        <x:v>0</x:v>
      </x:c>
      <x:c r="D20" s="52" t="n">
        <x:f>D17*D18*D19</x:f>
        <x:v>0</x:v>
      </x:c>
      <x:c r="E20" s="52" t="n">
        <x:f>E17*E18*E19</x:f>
        <x:v>0</x:v>
      </x:c>
      <x:c r="F20" s="52" t="n">
        <x:f>F17*F18*F19</x:f>
        <x:v>0</x:v>
      </x:c>
      <x:c r="G20" s="52" t="n">
        <x:f>G17*G18*G19</x:f>
        <x:v>0</x:v>
      </x:c>
      <x:c r="H20" s="52" t="n">
        <x:f>H17*H18*H19</x:f>
        <x:v>0</x:v>
      </x:c>
      <x:c r="I20" s="52" t="n">
        <x:f>I17*I18*I19</x:f>
        <x:v>0</x:v>
      </x:c>
    </x:row>
    <x:row r="21">
      <x:c r="A21" s="38" t="str">
        <x:v>Total recognized modeled revenue ($m)</x:v>
      </x:c>
      <x:c r="B21" s="53"/>
      <x:c r="C21" s="53" t="n">
        <x:f>SUM(C16,C20)</x:f>
        <x:v>2.7536625</x:v>
      </x:c>
      <x:c r="D21" s="53" t="n">
        <x:f>SUM(D16,D20)</x:f>
        <x:v>2.8205429174999996</x:v>
      </x:c>
      <x:c r="E21" s="53" t="n">
        <x:f>SUM(E16,E20)</x:f>
        <x:v>2.8058844721792497</x:v>
      </x:c>
      <x:c r="F21" s="53" t="n">
        <x:f>SUM(F16,F20)</x:f>
        <x:v>2.7085893706122866</x:v>
      </x:c>
      <x:c r="G21" s="53" t="n">
        <x:f>SUM(G16,G20)</x:f>
        <x:v>2.534841654087623</x:v>
      </x:c>
      <x:c r="H21" s="53" t="n">
        <x:f>SUM(H16,H20)</x:f>
        <x:v>2.2975515806969433</x:v>
      </x:c>
      <x:c r="I21" s="53" t="n">
        <x:f>SUM(I16,I20)</x:f>
        <x:v>2.0147955353735925</x:v>
      </x:c>
    </x:row>
    <x:row r="22">
      <x:c r="A22" t="str">
        <x:v>Subscription gross margin</x:v>
      </x:c>
      <x:c r="B22" s="51"/>
      <x:c r="C22" s="51" t="n">
        <x:f>Assumptions!$B$19</x:f>
        <x:v>0.63</x:v>
      </x:c>
      <x:c r="D22" s="51" t="n">
        <x:f>Assumptions!$B$19</x:f>
        <x:v>0.63</x:v>
      </x:c>
      <x:c r="E22" s="51" t="n">
        <x:f>Assumptions!$B$19</x:f>
        <x:v>0.63</x:v>
      </x:c>
      <x:c r="F22" s="51" t="n">
        <x:f>Assumptions!$B$19</x:f>
        <x:v>0.63</x:v>
      </x:c>
      <x:c r="G22" s="51" t="n">
        <x:f>Assumptions!$B$19</x:f>
        <x:v>0.63</x:v>
      </x:c>
      <x:c r="H22" s="51" t="n">
        <x:f>Assumptions!$B$19</x:f>
        <x:v>0.63</x:v>
      </x:c>
      <x:c r="I22" s="51" t="n">
        <x:f>Assumptions!$B$19</x:f>
        <x:v>0.63</x:v>
      </x:c>
    </x:row>
    <x:row r="23">
      <x:c r="A23" s="46" t="str">
        <x:v>Gross profit ($m)</x:v>
      </x:c>
      <x:c r="B23" s="54"/>
      <x:c r="C23" s="54" t="n">
        <x:f>C16*C22+C20*Assumptions!$B$34</x:f>
        <x:v>1.734807375</x:v>
      </x:c>
      <x:c r="D23" s="54" t="n">
        <x:f>D16*D22+D20*Assumptions!$B$34</x:f>
        <x:v>1.7769420380249998</x:v>
      </x:c>
      <x:c r="E23" s="54" t="n">
        <x:f>E16*E22+E20*Assumptions!$B$34</x:f>
        <x:v>1.7677072174729274</x:v>
      </x:c>
      <x:c r="F23" s="54" t="n">
        <x:f>F16*F22+F20*Assumptions!$B$34</x:f>
        <x:v>1.7064113034857404</x:v>
      </x:c>
      <x:c r="G23" s="54" t="n">
        <x:f>G16*G22+G20*Assumptions!$B$34</x:f>
        <x:v>1.5969502420752024</x:v>
      </x:c>
      <x:c r="H23" s="54" t="n">
        <x:f>H16*H22+H20*Assumptions!$B$34</x:f>
        <x:v>1.4474574958390742</x:v>
      </x:c>
      <x:c r="I23" s="54" t="n">
        <x:f>I16*I22+I20*Assumptions!$B$34</x:f>
        <x:v>1.2693211872853634</x:v>
      </x:c>
    </x:row>
    <x:row r="24">
      <x:c r="A24" t="str">
        <x:v>Sales and marketing expense / revenue</x:v>
      </x:c>
      <x:c r="B24" s="51"/>
      <x:c r="C24" s="51" t="n">
        <x:f>MAX(Assumptions!$B$22,Assumptions!$B$20-(C$4-2027)*Assumptions!$B$21)</x:f>
        <x:v>0.9</x:v>
      </x:c>
      <x:c r="D24" s="51" t="n">
        <x:f>MAX(Assumptions!$B$22,Assumptions!$B$20-(D$4-2027)*Assumptions!$B$21)</x:f>
        <x:v>0.86</x:v>
      </x:c>
      <x:c r="E24" s="51" t="n">
        <x:f>MAX(Assumptions!$B$22,Assumptions!$B$20-(E$4-2027)*Assumptions!$B$21)</x:f>
        <x:v>0.8200000000000001</x:v>
      </x:c>
      <x:c r="F24" s="51" t="n">
        <x:f>MAX(Assumptions!$B$22,Assumptions!$B$20-(F$4-2027)*Assumptions!$B$21)</x:f>
        <x:v>0.78</x:v>
      </x:c>
      <x:c r="G24" s="51" t="n">
        <x:f>MAX(Assumptions!$B$22,Assumptions!$B$20-(G$4-2027)*Assumptions!$B$21)</x:f>
        <x:v>0.74</x:v>
      </x:c>
      <x:c r="H24" s="51" t="n">
        <x:f>MAX(Assumptions!$B$22,Assumptions!$B$20-(H$4-2027)*Assumptions!$B$21)</x:f>
        <x:v>0.7</x:v>
      </x:c>
      <x:c r="I24" s="51" t="n">
        <x:f>MAX(Assumptions!$B$22,Assumptions!$B$20-(I$4-2027)*Assumptions!$B$21)</x:f>
        <x:v>0.66</x:v>
      </x:c>
    </x:row>
    <x:row r="25">
      <x:c r="A25" t="str">
        <x:v>Research and development / revenue</x:v>
      </x:c>
      <x:c r="B25" s="51"/>
      <x:c r="C25" s="51" t="n">
        <x:f>MAX(Assumptions!$B$25,Assumptions!$B$23-(C$4-2027)*Assumptions!$B$24)</x:f>
        <x:v>0.6</x:v>
      </x:c>
      <x:c r="D25" s="51" t="n">
        <x:f>MAX(Assumptions!$B$25,Assumptions!$B$23-(D$4-2027)*Assumptions!$B$24)</x:f>
        <x:v>0.5599999999999999</x:v>
      </x:c>
      <x:c r="E25" s="51" t="n">
        <x:f>MAX(Assumptions!$B$25,Assumptions!$B$23-(E$4-2027)*Assumptions!$B$24)</x:f>
        <x:v>0.52</x:v>
      </x:c>
      <x:c r="F25" s="51" t="n">
        <x:f>MAX(Assumptions!$B$25,Assumptions!$B$23-(F$4-2027)*Assumptions!$B$24)</x:f>
        <x:v>0.48</x:v>
      </x:c>
      <x:c r="G25" s="51" t="n">
        <x:f>MAX(Assumptions!$B$25,Assumptions!$B$23-(G$4-2027)*Assumptions!$B$24)</x:f>
        <x:v>0.43999999999999995</x:v>
      </x:c>
      <x:c r="H25" s="51" t="n">
        <x:f>MAX(Assumptions!$B$25,Assumptions!$B$23-(H$4-2027)*Assumptions!$B$24)</x:f>
        <x:v>0.39999999999999997</x:v>
      </x:c>
      <x:c r="I25" s="51" t="n">
        <x:f>MAX(Assumptions!$B$25,Assumptions!$B$23-(I$4-2027)*Assumptions!$B$24)</x:f>
        <x:v>0.36</x:v>
      </x:c>
    </x:row>
    <x:row r="26">
      <x:c r="A26" t="str">
        <x:v>General and administrative / revenue</x:v>
      </x:c>
      <x:c r="B26" s="51"/>
      <x:c r="C26" s="51" t="n">
        <x:f>MAX(Assumptions!$B$28,Assumptions!$B$26-(C$4-2027)*Assumptions!$B$27)</x:f>
        <x:v>0.34</x:v>
      </x:c>
      <x:c r="D26" s="51" t="n">
        <x:f>MAX(Assumptions!$B$28,Assumptions!$B$26-(D$4-2027)*Assumptions!$B$27)</x:f>
        <x:v>0.32</x:v>
      </x:c>
      <x:c r="E26" s="51" t="n">
        <x:f>MAX(Assumptions!$B$28,Assumptions!$B$26-(E$4-2027)*Assumptions!$B$27)</x:f>
        <x:v>0.30000000000000004</x:v>
      </x:c>
      <x:c r="F26" s="51" t="n">
        <x:f>MAX(Assumptions!$B$28,Assumptions!$B$26-(F$4-2027)*Assumptions!$B$27)</x:f>
        <x:v>0.28</x:v>
      </x:c>
      <x:c r="G26" s="51" t="n">
        <x:f>MAX(Assumptions!$B$28,Assumptions!$B$26-(G$4-2027)*Assumptions!$B$27)</x:f>
        <x:v>0.26</x:v>
      </x:c>
      <x:c r="H26" s="51" t="n">
        <x:f>MAX(Assumptions!$B$28,Assumptions!$B$26-(H$4-2027)*Assumptions!$B$27)</x:f>
        <x:v>0.24000000000000002</x:v>
      </x:c>
      <x:c r="I26" s="51" t="n">
        <x:f>MAX(Assumptions!$B$28,Assumptions!$B$26-(I$4-2027)*Assumptions!$B$27)</x:f>
        <x:v>0.22000000000000003</x:v>
      </x:c>
    </x:row>
    <x:row r="27">
      <x:c r="A27" s="46" t="str">
        <x:v>Total modeled operating expenses ($m)</x:v>
      </x:c>
      <x:c r="B27" s="54"/>
      <x:c r="C27" s="54" t="n">
        <x:f>C21*SUM(C24:C26)</x:f>
        <x:v>5.066739</x:v>
      </x:c>
      <x:c r="D27" s="54" t="n">
        <x:f>D21*SUM(D24:D26)</x:f>
        <x:v>4.907744676449999</x:v>
      </x:c>
      <x:c r="E27" s="54" t="n">
        <x:f>E21*SUM(E24:E26)</x:f>
        <x:v>4.60165053437397</x:v>
      </x:c>
      <x:c r="F27" s="54" t="n">
        <x:f>F21*SUM(F24:F26)</x:f>
        <x:v>4.171227630742921</x:v>
      </x:c>
      <x:c r="G27" s="54" t="n">
        <x:f>G21*SUM(G24:G26)</x:f>
        <x:v>3.6501719818861766</x:v>
      </x:c>
      <x:c r="H27" s="54" t="n">
        <x:f>H21*SUM(H24:H26)</x:f>
        <x:v>3.0787191181339035</x:v>
      </x:c>
      <x:c r="I27" s="54" t="n">
        <x:f>I21*SUM(I24:I26)</x:f>
        <x:v>2.4983464638632547</x:v>
      </x:c>
    </x:row>
    <x:row r="28">
      <x:c r="A28" s="38" t="str">
        <x:v>EBITDA ($m)</x:v>
      </x:c>
      <x:c r="B28" s="53"/>
      <x:c r="C28" s="53" t="n">
        <x:f>C23-C27</x:f>
        <x:v>-3.331931625</x:v>
      </x:c>
      <x:c r="D28" s="53" t="n">
        <x:f>D23-D27</x:f>
        <x:v>-3.130802638424999</x:v>
      </x:c>
      <x:c r="E28" s="53" t="n">
        <x:f>E23-E27</x:f>
        <x:v>-2.833943316901043</x:v>
      </x:c>
      <x:c r="F28" s="53" t="n">
        <x:f>F23-F27</x:f>
        <x:v>-2.4648163272571804</x:v>
      </x:c>
      <x:c r="G28" s="53" t="n">
        <x:f>G23-G27</x:f>
        <x:v>-2.053221739810974</x:v>
      </x:c>
      <x:c r="H28" s="53" t="n">
        <x:f>H23-H27</x:f>
        <x:v>-1.6312616222948293</x:v>
      </x:c>
      <x:c r="I28" s="53" t="n">
        <x:f>I23-I27</x:f>
        <x:v>-1.2290252765778913</x:v>
      </x:c>
    </x:row>
    <x:row r="29">
      <x:c r="A29" t="str">
        <x:v>EBITDA margin</x:v>
      </x:c>
      <x:c r="B29" s="51"/>
      <x:c r="C29" s="51" t="n">
        <x:f>IFERROR(C28/C21,0)</x:f>
        <x:v>-1.2100000000000002</x:v>
      </x:c>
      <x:c r="D29" s="51" t="n">
        <x:f>IFERROR(D28/D21,0)</x:f>
        <x:v>-1.1099999999999999</x:v>
      </x:c>
      <x:c r="E29" s="51" t="n">
        <x:f>IFERROR(E28/E21,0)</x:f>
        <x:v>-1.0100000000000002</x:v>
      </x:c>
      <x:c r="F29" s="51" t="n">
        <x:f>IFERROR(F28/F21,0)</x:f>
        <x:v>-0.9099999999999998</x:v>
      </x:c>
      <x:c r="G29" s="51" t="n">
        <x:f>IFERROR(G28/G21,0)</x:f>
        <x:v>-0.8099999999999998</x:v>
      </x:c>
      <x:c r="H29" s="51" t="n">
        <x:f>IFERROR(H28/H21,0)</x:f>
        <x:v>-0.7099999999999999</x:v>
      </x:c>
      <x:c r="I29" s="51" t="n">
        <x:f>IFERROR(I28/I21,0)</x:f>
        <x:v>-0.61</x:v>
      </x:c>
    </x:row>
    <x:row r="30">
      <x:c r="B30" s="52"/>
      <x:c r="C30" s="52"/>
      <x:c r="D30" s="52"/>
      <x:c r="E30" s="52"/>
      <x:c r="F30" s="52"/>
      <x:c r="G30" s="52"/>
      <x:c r="H30" s="52"/>
      <x:c r="I30" s="52"/>
    </x:row>
    <x:row r="31">
      <x:c r="A31" s="46" t="str">
        <x:v>2033 projected annual revenue for exit valuation</x:v>
      </x:c>
      <x:c r="B31" s="54"/>
      <x:c r="C31" s="54" t="n">
        <x:f>C21</x:f>
        <x:v>2.7536625</x:v>
      </x:c>
      <x:c r="D31" s="54" t="n">
        <x:f>D21</x:f>
        <x:v>2.8205429174999996</x:v>
      </x:c>
      <x:c r="E31" s="54" t="n">
        <x:f>E21</x:f>
        <x:v>2.8058844721792497</x:v>
      </x:c>
      <x:c r="F31" s="54" t="n">
        <x:f>F21</x:f>
        <x:v>2.7085893706122866</x:v>
      </x:c>
      <x:c r="G31" s="54" t="n">
        <x:f>G21</x:f>
        <x:v>2.534841654087623</x:v>
      </x:c>
      <x:c r="H31" s="54" t="n">
        <x:f>H21</x:f>
        <x:v>2.2975515806969433</x:v>
      </x:c>
      <x:c r="I31" s="54" t="n">
        <x:f>I21</x:f>
        <x:v>2.0147955353735925</x:v>
      </x:c>
    </x:row>
  </x:sheetData>
  <x:mergeCells>
    <x:mergeCell ref="A1:I2"/>
    <x:mergeCell ref="A3:I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6" hidden="0" customWidth="1"/>
  </x:cols>
  <x:sheetData>
    <x:row r="1" ht="24" customHeight="1">
      <x:c r="A1" s="3" t="str">
        <x:v>CHOICE | BASE OPERATING FORECAST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35" customHeight="1">
      <x:c r="A3" s="10" t="str">
        <x:v>Year 2026 is an October point-in-time run-rate baseline. 2027-33 figures are illustrative forecasts. All USD amounts are millions unless stated.</x:v>
      </x:c>
      <x:c r="B3" s="10"/>
      <x:c r="C3" s="10"/>
      <x:c r="D3" s="10"/>
      <x:c r="E3" s="10"/>
      <x:c r="F3" s="10"/>
      <x:c r="G3" s="10"/>
      <x:c r="H3" s="10"/>
      <x:c r="I3" s="10"/>
    </x:row>
    <x:row r="4">
      <x:c r="A4" s="25" t="str">
        <x:v>Metric</x:v>
      </x:c>
      <x:c r="B4" s="25" t="n">
        <x:v>2026</x:v>
      </x:c>
      <x:c r="C4" s="25" t="n">
        <x:v>2027</x:v>
      </x:c>
      <x:c r="D4" s="25" t="n">
        <x:v>2028</x:v>
      </x:c>
      <x:c r="E4" s="25" t="n">
        <x:v>2029</x:v>
      </x:c>
      <x:c r="F4" s="25" t="n">
        <x:v>2030</x:v>
      </x:c>
      <x:c r="G4" s="25" t="n">
        <x:v>2031</x:v>
      </x:c>
      <x:c r="H4" s="25" t="n">
        <x:v>2032</x:v>
      </x:c>
      <x:c r="I4" s="25" t="n">
        <x:v>2033</x:v>
      </x:c>
    </x:row>
    <x:row r="6">
      <x:c r="A6" t="str">
        <x:v>Paying restaurant locations, year-end</x:v>
      </x:c>
      <x:c r="B6" s="50" t="n">
        <x:f>Assumptions!$B$5</x:f>
        <x:v>9000</x:v>
      </x:c>
      <x:c r="C6" s="50" t="n">
        <x:f>B6+C11</x:f>
        <x:v>12870</x:v>
      </x:c>
      <x:c r="D6" s="50" t="n">
        <x:f>C6+D11</x:f>
        <x:v>17889.3</x:v>
      </x:c>
      <x:c r="E6" s="50" t="n">
        <x:f>D6+E11</x:f>
        <x:v>24150.555</x:v>
      </x:c>
      <x:c r="F6" s="50" t="n">
        <x:f>E6+F11</x:f>
        <x:v>31637.22705</x:v>
      </x:c>
      <x:c r="G6" s="50" t="n">
        <x:f>F6+G11</x:f>
        <x:v>40179.278353500005</x:v>
      </x:c>
      <x:c r="H6" s="50" t="n">
        <x:f>G6+H11</x:f>
        <x:v>49420.51237480501</x:v>
      </x:c>
      <x:c r="I6" s="50" t="n">
        <x:f>H6+I11</x:f>
        <x:v>58810.40972601797</x:v>
      </x:c>
    </x:row>
    <x:row r="7">
      <x:c r="A7" t="str">
        <x:v>Gross new customer rate</x:v>
      </x:c>
      <x:c r="B7" s="51"/>
      <x:c r="C7" s="51" t="n">
        <x:f>MAX(Assumptions!$C$16,Assumptions!$C$14-(C$4-2027)*Assumptions!$C$15)</x:f>
        <x:v>0.55</x:v>
      </x:c>
      <x:c r="D7" s="51" t="n">
        <x:f>MAX(Assumptions!$C$16,Assumptions!$C$14-(D$4-2027)*Assumptions!$C$15)</x:f>
        <x:v>0.51</x:v>
      </x:c>
      <x:c r="E7" s="51" t="n">
        <x:f>MAX(Assumptions!$C$16,Assumptions!$C$14-(E$4-2027)*Assumptions!$C$15)</x:f>
        <x:v>0.47000000000000003</x:v>
      </x:c>
      <x:c r="F7" s="51" t="n">
        <x:f>MAX(Assumptions!$C$16,Assumptions!$C$14-(F$4-2027)*Assumptions!$C$15)</x:f>
        <x:v>0.43000000000000005</x:v>
      </x:c>
      <x:c r="G7" s="51" t="n">
        <x:f>MAX(Assumptions!$C$16,Assumptions!$C$14-(G$4-2027)*Assumptions!$C$15)</x:f>
        <x:v>0.39</x:v>
      </x:c>
      <x:c r="H7" s="51" t="n">
        <x:f>MAX(Assumptions!$C$16,Assumptions!$C$14-(H$4-2027)*Assumptions!$C$15)</x:f>
        <x:v>0.35000000000000003</x:v>
      </x:c>
      <x:c r="I7" s="51" t="n">
        <x:f>MAX(Assumptions!$C$16,Assumptions!$C$14-(I$4-2027)*Assumptions!$C$15)</x:f>
        <x:v>0.31000000000000005</x:v>
      </x:c>
    </x:row>
    <x:row r="8">
      <x:c r="A8" t="str">
        <x:v>Gross new paying restaurants</x:v>
      </x:c>
      <x:c r="B8" s="50"/>
      <x:c r="C8" s="50" t="n">
        <x:f>B6*C7</x:f>
        <x:v>4950</x:v>
      </x:c>
      <x:c r="D8" s="50" t="n">
        <x:f>C6*D7</x:f>
        <x:v>6563.7</x:v>
      </x:c>
      <x:c r="E8" s="50" t="n">
        <x:f>D6*E7</x:f>
        <x:v>8407.971</x:v>
      </x:c>
      <x:c r="F8" s="50" t="n">
        <x:f>E6*F7</x:f>
        <x:v>10384.738650000001</x:v>
      </x:c>
      <x:c r="G8" s="50" t="n">
        <x:f>F6*G7</x:f>
        <x:v>12338.5185495</x:v>
      </x:c>
      <x:c r="H8" s="50" t="n">
        <x:f>G6*H7</x:f>
        <x:v>14062.747423725003</x:v>
      </x:c>
      <x:c r="I8" s="50" t="n">
        <x:f>H6*I7</x:f>
        <x:v>15320.358836189556</x:v>
      </x:c>
    </x:row>
    <x:row r="9">
      <x:c r="A9" t="str">
        <x:v>Annual churn rate</x:v>
      </x:c>
      <x:c r="B9" s="51"/>
      <x:c r="C9" s="51" t="n">
        <x:f>Assumptions!$C$17</x:f>
        <x:v>0.12</x:v>
      </x:c>
      <x:c r="D9" s="51" t="n">
        <x:f>Assumptions!$C$17</x:f>
        <x:v>0.12</x:v>
      </x:c>
      <x:c r="E9" s="51" t="n">
        <x:f>Assumptions!$C$17</x:f>
        <x:v>0.12</x:v>
      </x:c>
      <x:c r="F9" s="51" t="n">
        <x:f>Assumptions!$C$17</x:f>
        <x:v>0.12</x:v>
      </x:c>
      <x:c r="G9" s="51" t="n">
        <x:f>Assumptions!$C$17</x:f>
        <x:v>0.12</x:v>
      </x:c>
      <x:c r="H9" s="51" t="n">
        <x:f>Assumptions!$C$17</x:f>
        <x:v>0.12</x:v>
      </x:c>
      <x:c r="I9" s="51" t="n">
        <x:f>Assumptions!$C$17</x:f>
        <x:v>0.12</x:v>
      </x:c>
    </x:row>
    <x:row r="10">
      <x:c r="A10" t="str">
        <x:v>Churned paying restaurants</x:v>
      </x:c>
      <x:c r="B10" s="50"/>
      <x:c r="C10" s="50" t="n">
        <x:f>B6*C9</x:f>
        <x:v>1080</x:v>
      </x:c>
      <x:c r="D10" s="50" t="n">
        <x:f>C6*D9</x:f>
        <x:v>1544.3999999999999</x:v>
      </x:c>
      <x:c r="E10" s="50" t="n">
        <x:f>D6*E9</x:f>
        <x:v>2146.716</x:v>
      </x:c>
      <x:c r="F10" s="50" t="n">
        <x:f>E6*F9</x:f>
        <x:v>2898.0666</x:v>
      </x:c>
      <x:c r="G10" s="50" t="n">
        <x:f>F6*G9</x:f>
        <x:v>3796.467246</x:v>
      </x:c>
      <x:c r="H10" s="50" t="n">
        <x:f>G6*H9</x:f>
        <x:v>4821.513402420001</x:v>
      </x:c>
      <x:c r="I10" s="50" t="n">
        <x:f>H6*I9</x:f>
        <x:v>5930.461484976601</x:v>
      </x:c>
    </x:row>
    <x:row r="11">
      <x:c r="A11" t="str">
        <x:v>Net added paying restaurants</x:v>
      </x:c>
      <x:c r="B11" s="50"/>
      <x:c r="C11" s="50" t="n">
        <x:f>C8-C10</x:f>
        <x:v>3870</x:v>
      </x:c>
      <x:c r="D11" s="50" t="n">
        <x:f>D8-D10</x:f>
        <x:v>5019.3</x:v>
      </x:c>
      <x:c r="E11" s="50" t="n">
        <x:f>E8-E10</x:f>
        <x:v>6261.254999999999</x:v>
      </x:c>
      <x:c r="F11" s="50" t="n">
        <x:f>F8-F10</x:f>
        <x:v>7486.672050000001</x:v>
      </x:c>
      <x:c r="G11" s="50" t="n">
        <x:f>G8-G10</x:f>
        <x:v>8542.0513035</x:v>
      </x:c>
      <x:c r="H11" s="50" t="n">
        <x:f>H8-H10</x:f>
        <x:v>9241.234021305001</x:v>
      </x:c>
      <x:c r="I11" s="50" t="n">
        <x:f>I8-I10</x:f>
        <x:v>9389.897351212956</x:v>
      </x:c>
    </x:row>
    <x:row r="12">
      <x:c r="A12" t="str">
        <x:v>Effective monthly subscription ARPA (USD)</x:v>
      </x:c>
      <x:c r="B12" s="52" t="n">
        <x:f>Assumptions!$C$13</x:f>
        <x:v>40</x:v>
      </x:c>
      <x:c r="C12" s="52" t="n">
        <x:f>B12*(1+Assumptions!$C$18)</x:f>
        <x:v>41.2</x:v>
      </x:c>
      <x:c r="D12" s="52" t="n">
        <x:f>C12*(1+Assumptions!$C$18)</x:f>
        <x:v>42.43600000000001</x:v>
      </x:c>
      <x:c r="E12" s="52" t="n">
        <x:f>D12*(1+Assumptions!$C$18)</x:f>
        <x:v>43.70908000000001</x:v>
      </x:c>
      <x:c r="F12" s="52" t="n">
        <x:f>E12*(1+Assumptions!$C$18)</x:f>
        <x:v>45.02035240000001</x:v>
      </x:c>
      <x:c r="G12" s="52" t="n">
        <x:f>F12*(1+Assumptions!$C$18)</x:f>
        <x:v>46.37096297200001</x:v>
      </x:c>
      <x:c r="H12" s="52" t="n">
        <x:f>G12*(1+Assumptions!$C$18)</x:f>
        <x:v>47.76209186116001</x:v>
      </x:c>
      <x:c r="I12" s="52" t="n">
        <x:f>H12*(1+Assumptions!$C$18)</x:f>
        <x:v>49.19495461699481</x:v>
      </x:c>
    </x:row>
    <x:row r="13">
      <x:c r="A13" s="38" t="str">
        <x:v>Annualized year-end subscription run rate ($m)</x:v>
      </x:c>
      <x:c r="B13" s="53" t="n">
        <x:f>B6*B12*12/1000000</x:f>
        <x:v>4.32</x:v>
      </x:c>
      <x:c r="C13" s="53" t="n">
        <x:f>C6*C12*12/1000000</x:f>
        <x:v>6.362928</x:v>
      </x:c>
      <x:c r="D13" s="53" t="n">
        <x:f>D6*D12*12/1000000</x:f>
        <x:v>9.1098040176</x:v>
      </x:c>
      <x:c r="E13" s="53" t="n">
        <x:f>E6*E12*12/1000000</x:f>
        <x:v>12.667182486472802</x:v>
      </x:c>
      <x:c r="F13" s="53" t="n">
        <x:f>F6*F12*12/1000000</x:f>
        <x:v>17.091829328997754</x:v>
      </x:c>
      <x:c r="G13" s="53" t="n">
        <x:f>G6*G12*12/1000000</x:f>
        <x:v>22.357821945261964</x:v>
      </x:c>
      <x:c r="H13" s="53" t="n">
        <x:f>H6*H12*12/1000000</x:f>
        <x:v>28.325124622452385</x:v>
      </x:c>
      <x:c r="I13" s="53" t="n">
        <x:f>I6*I12*12/1000000</x:f>
        <x:v>34.71810524973989</x:v>
      </x:c>
    </x:row>
    <x:row r="14">
      <x:c r="A14" t="str">
        <x:v>Average paying locations (fiscal year)</x:v>
      </x:c>
      <x:c r="B14" s="50"/>
      <x:c r="C14" s="50" t="n">
        <x:f>AVERAGE(B6,C6)</x:f>
        <x:v>10935</x:v>
      </x:c>
      <x:c r="D14" s="50" t="n">
        <x:f>AVERAGE(C6,D6)</x:f>
        <x:v>15379.65</x:v>
      </x:c>
      <x:c r="E14" s="50" t="n">
        <x:f>AVERAGE(D6,E6)</x:f>
        <x:v>21019.927499999998</x:v>
      </x:c>
      <x:c r="F14" s="50" t="n">
        <x:f>AVERAGE(E6,F6)</x:f>
        <x:v>27893.891025</x:v>
      </x:c>
      <x:c r="G14" s="50" t="n">
        <x:f>AVERAGE(F6,G6)</x:f>
        <x:v>35908.25270175</x:v>
      </x:c>
      <x:c r="H14" s="50" t="n">
        <x:f>AVERAGE(G6,H6)</x:f>
        <x:v>44799.89536415251</x:v>
      </x:c>
      <x:c r="I14" s="50" t="n">
        <x:f>AVERAGE(H6,I6)</x:f>
        <x:v>54115.46105041149</x:v>
      </x:c>
    </x:row>
    <x:row r="15">
      <x:c r="A15" t="str">
        <x:v>Average effective ARPA (USD)</x:v>
      </x:c>
      <x:c r="B15" s="52"/>
      <x:c r="C15" s="52" t="n">
        <x:f>AVERAGE(B12,C12)</x:f>
        <x:v>40.6</x:v>
      </x:c>
      <x:c r="D15" s="52" t="n">
        <x:f>AVERAGE(C12,D12)</x:f>
        <x:v>41.818000000000005</x:v>
      </x:c>
      <x:c r="E15" s="52" t="n">
        <x:f>AVERAGE(D12,E12)</x:f>
        <x:v>43.072540000000004</x:v>
      </x:c>
      <x:c r="F15" s="52" t="n">
        <x:f>AVERAGE(E12,F12)</x:f>
        <x:v>44.364716200000004</x:v>
      </x:c>
      <x:c r="G15" s="52" t="n">
        <x:f>AVERAGE(F12,G12)</x:f>
        <x:v>45.695657686000004</x:v>
      </x:c>
      <x:c r="H15" s="52" t="n">
        <x:f>AVERAGE(G12,H12)</x:f>
        <x:v>47.06652741658001</x:v>
      </x:c>
      <x:c r="I15" s="52" t="n">
        <x:f>AVERAGE(H12,I12)</x:f>
        <x:v>48.47852323907741</x:v>
      </x:c>
    </x:row>
    <x:row r="16">
      <x:c r="A16" s="38" t="str">
        <x:v>Recognized subscription revenue, modeled ($m)</x:v>
      </x:c>
      <x:c r="B16" s="53"/>
      <x:c r="C16" s="53" t="n">
        <x:f>C14*C15*12/1000000</x:f>
        <x:v>5.327532</x:v>
      </x:c>
      <x:c r="D16" s="53" t="n">
        <x:f>D14*D15*12/1000000</x:f>
        <x:v>7.7177544444000015</x:v>
      </x:c>
      <x:c r="E16" s="53" t="n">
        <x:f>E14*E15*12/1000000</x:f>
        <x:v>10.8645800164902</x:v>
      </x:c>
      <x:c r="F16" s="53" t="n">
        <x:f>F14*F15*12/1000000</x:f>
        <x:v>14.850054708454229</x:v>
      </x:c>
      <x:c r="G16" s="53" t="n">
        <x:f>G14*G15*12/1000000</x:f>
        <x:v>19.690214682738635</x:v>
      </x:c>
      <x:c r="H16" s="53" t="n">
        <x:f>H14*H15*12/1000000</x:f>
        <x:v>25.302906041001595</x:v>
      </x:c>
      <x:c r="I16" s="53" t="n">
        <x:f>I14*I15*12/1000000</x:f>
        <x:v>31.481251633509146</x:v>
      </x:c>
    </x:row>
    <x:row r="17">
      <x:c r="A17" t="str">
        <x:v>Platform restaurant GMV annualized/forecast ($m)</x:v>
      </x:c>
      <x:c r="B17" s="52" t="n">
        <x:f>Assumptions!$B$6*12</x:f>
        <x:v>600</x:v>
      </x:c>
      <x:c r="C17" s="52" t="n">
        <x:f>$B$17*(C14/$B$6)*(1+Assumptions!$C$30)^(C$4-2026)</x:f>
        <x:v>750.87</x:v>
      </x:c>
      <x:c r="D17" s="52" t="n">
        <x:f>$B$17*(D14/$B$6)*(1+Assumptions!$C$30)^(D$4-2026)</x:f>
        <x:v>1087.7513789999998</x:v>
      </x:c>
      <x:c r="E17" s="52" t="n">
        <x:f>$B$17*(E14/$B$6)*(1+Assumptions!$C$30)^(E$4-2026)</x:f>
        <x:v>1531.2694878194998</x:v>
      </x:c>
      <x:c r="F17" s="52" t="n">
        <x:f>$B$17*(F14/$B$6)*(1+Assumptions!$C$30)^(F$4-2026)</x:f>
        <x:v>2092.9880062544953</x:v>
      </x:c>
      <x:c r="G17" s="52" t="n">
        <x:f>$B$17*(G14/$B$6)*(1+Assumptions!$C$30)^(G$4-2026)</x:f>
        <x:v>2775.16709403678</x:v>
      </x:c>
      <x:c r="H17" s="52" t="n">
        <x:f>$B$17*(H14/$B$6)*(1+Assumptions!$C$30)^(H$4-2026)</x:f>
        <x:v>3566.2278629216803</x:v>
      </x:c>
      <x:c r="I17" s="52" t="n">
        <x:f>$B$17*(I14/$B$6)*(1+Assumptions!$C$30)^(I$4-2026)</x:f>
        <x:v>4437.012750754572</x:v>
      </x:c>
    </x:row>
    <x:row r="18">
      <x:c r="A18" t="str">
        <x:v>Eligible GMV share, UNVERIFIED</x:v>
      </x:c>
      <x:c r="B18" s="51"/>
      <x:c r="C18" s="51" t="n">
        <x:f>Assumptions!$C$32</x:f>
        <x:v>0</x:v>
      </x:c>
      <x:c r="D18" s="51" t="n">
        <x:f>Assumptions!$C$32</x:f>
        <x:v>0</x:v>
      </x:c>
      <x:c r="E18" s="51" t="n">
        <x:f>Assumptions!$C$32</x:f>
        <x:v>0</x:v>
      </x:c>
      <x:c r="F18" s="51" t="n">
        <x:f>Assumptions!$C$32</x:f>
        <x:v>0</x:v>
      </x:c>
      <x:c r="G18" s="51" t="n">
        <x:f>Assumptions!$C$32</x:f>
        <x:v>0</x:v>
      </x:c>
      <x:c r="H18" s="51" t="n">
        <x:f>Assumptions!$C$32</x:f>
        <x:v>0</x:v>
      </x:c>
      <x:c r="I18" s="51" t="n">
        <x:f>Assumptions!$C$32</x:f>
        <x:v>0</x:v>
      </x:c>
    </x:row>
    <x:row r="19">
      <x:c r="A19" t="str">
        <x:v>Net company take rate, UNVERIFIED</x:v>
      </x:c>
      <x:c r="B19" s="51"/>
      <x:c r="C19" s="51" t="n">
        <x:f>Assumptions!$C$31</x:f>
        <x:v>0</x:v>
      </x:c>
      <x:c r="D19" s="51" t="n">
        <x:f>Assumptions!$C$31</x:f>
        <x:v>0</x:v>
      </x:c>
      <x:c r="E19" s="51" t="n">
        <x:f>Assumptions!$C$31</x:f>
        <x:v>0</x:v>
      </x:c>
      <x:c r="F19" s="51" t="n">
        <x:f>Assumptions!$C$31</x:f>
        <x:v>0</x:v>
      </x:c>
      <x:c r="G19" s="51" t="n">
        <x:f>Assumptions!$C$31</x:f>
        <x:v>0</x:v>
      </x:c>
      <x:c r="H19" s="51" t="n">
        <x:f>Assumptions!$C$31</x:f>
        <x:v>0</x:v>
      </x:c>
      <x:c r="I19" s="51" t="n">
        <x:f>Assumptions!$C$31</x:f>
        <x:v>0</x:v>
      </x:c>
    </x:row>
    <x:row r="20">
      <x:c r="A20" t="str">
        <x:v>Modeled other monetization revenue ($m)</x:v>
      </x:c>
      <x:c r="B20" s="52"/>
      <x:c r="C20" s="52" t="n">
        <x:f>C17*C18*C19</x:f>
        <x:v>0</x:v>
      </x:c>
      <x:c r="D20" s="52" t="n">
        <x:f>D17*D18*D19</x:f>
        <x:v>0</x:v>
      </x:c>
      <x:c r="E20" s="52" t="n">
        <x:f>E17*E18*E19</x:f>
        <x:v>0</x:v>
      </x:c>
      <x:c r="F20" s="52" t="n">
        <x:f>F17*F18*F19</x:f>
        <x:v>0</x:v>
      </x:c>
      <x:c r="G20" s="52" t="n">
        <x:f>G17*G18*G19</x:f>
        <x:v>0</x:v>
      </x:c>
      <x:c r="H20" s="52" t="n">
        <x:f>H17*H18*H19</x:f>
        <x:v>0</x:v>
      </x:c>
      <x:c r="I20" s="52" t="n">
        <x:f>I17*I18*I19</x:f>
        <x:v>0</x:v>
      </x:c>
    </x:row>
    <x:row r="21">
      <x:c r="A21" s="38" t="str">
        <x:v>Total recognized modeled revenue ($m)</x:v>
      </x:c>
      <x:c r="B21" s="53"/>
      <x:c r="C21" s="53" t="n">
        <x:f>SUM(C16,C20)</x:f>
        <x:v>5.327532</x:v>
      </x:c>
      <x:c r="D21" s="53" t="n">
        <x:f>SUM(D16,D20)</x:f>
        <x:v>7.7177544444000015</x:v>
      </x:c>
      <x:c r="E21" s="53" t="n">
        <x:f>SUM(E16,E20)</x:f>
        <x:v>10.8645800164902</x:v>
      </x:c>
      <x:c r="F21" s="53" t="n">
        <x:f>SUM(F16,F20)</x:f>
        <x:v>14.850054708454229</x:v>
      </x:c>
      <x:c r="G21" s="53" t="n">
        <x:f>SUM(G16,G20)</x:f>
        <x:v>19.690214682738635</x:v>
      </x:c>
      <x:c r="H21" s="53" t="n">
        <x:f>SUM(H16,H20)</x:f>
        <x:v>25.302906041001595</x:v>
      </x:c>
      <x:c r="I21" s="53" t="n">
        <x:f>SUM(I16,I20)</x:f>
        <x:v>31.481251633509146</x:v>
      </x:c>
    </x:row>
    <x:row r="22">
      <x:c r="A22" t="str">
        <x:v>Subscription gross margin</x:v>
      </x:c>
      <x:c r="B22" s="51"/>
      <x:c r="C22" s="51" t="n">
        <x:f>Assumptions!$C$19</x:f>
        <x:v>0.78</x:v>
      </x:c>
      <x:c r="D22" s="51" t="n">
        <x:f>Assumptions!$C$19</x:f>
        <x:v>0.78</x:v>
      </x:c>
      <x:c r="E22" s="51" t="n">
        <x:f>Assumptions!$C$19</x:f>
        <x:v>0.78</x:v>
      </x:c>
      <x:c r="F22" s="51" t="n">
        <x:f>Assumptions!$C$19</x:f>
        <x:v>0.78</x:v>
      </x:c>
      <x:c r="G22" s="51" t="n">
        <x:f>Assumptions!$C$19</x:f>
        <x:v>0.78</x:v>
      </x:c>
      <x:c r="H22" s="51" t="n">
        <x:f>Assumptions!$C$19</x:f>
        <x:v>0.78</x:v>
      </x:c>
      <x:c r="I22" s="51" t="n">
        <x:f>Assumptions!$C$19</x:f>
        <x:v>0.78</x:v>
      </x:c>
    </x:row>
    <x:row r="23">
      <x:c r="A23" s="46" t="str">
        <x:v>Gross profit ($m)</x:v>
      </x:c>
      <x:c r="B23" s="54"/>
      <x:c r="C23" s="54" t="n">
        <x:f>C16*C22+C20*Assumptions!$C$34</x:f>
        <x:v>4.15547496</x:v>
      </x:c>
      <x:c r="D23" s="54" t="n">
        <x:f>D16*D22+D20*Assumptions!$C$34</x:f>
        <x:v>6.019848466632001</x:v>
      </x:c>
      <x:c r="E23" s="54" t="n">
        <x:f>E16*E22+E20*Assumptions!$C$34</x:f>
        <x:v>8.474372412862357</x:v>
      </x:c>
      <x:c r="F23" s="54" t="n">
        <x:f>F16*F22+F20*Assumptions!$C$34</x:f>
        <x:v>11.5830426725943</x:v>
      </x:c>
      <x:c r="G23" s="54" t="n">
        <x:f>G16*G22+G20*Assumptions!$C$34</x:f>
        <x:v>15.358367452536136</x:v>
      </x:c>
      <x:c r="H23" s="54" t="n">
        <x:f>H16*H22+H20*Assumptions!$C$34</x:f>
        <x:v>19.736266711981244</x:v>
      </x:c>
      <x:c r="I23" s="54" t="n">
        <x:f>I16*I22+I20*Assumptions!$C$34</x:f>
        <x:v>24.555376274137135</x:v>
      </x:c>
    </x:row>
    <x:row r="24">
      <x:c r="A24" t="str">
        <x:v>Sales and marketing expense / revenue</x:v>
      </x:c>
      <x:c r="B24" s="51"/>
      <x:c r="C24" s="51" t="n">
        <x:f>MAX(Assumptions!$C$22,Assumptions!$C$20-(C$4-2027)*Assumptions!$C$21)</x:f>
        <x:v>0.63</x:v>
      </x:c>
      <x:c r="D24" s="51" t="n">
        <x:f>MAX(Assumptions!$C$22,Assumptions!$C$20-(D$4-2027)*Assumptions!$C$21)</x:f>
        <x:v>0.5700000000000001</x:v>
      </x:c>
      <x:c r="E24" s="51" t="n">
        <x:f>MAX(Assumptions!$C$22,Assumptions!$C$20-(E$4-2027)*Assumptions!$C$21)</x:f>
        <x:v>0.51</x:v>
      </x:c>
      <x:c r="F24" s="51" t="n">
        <x:f>MAX(Assumptions!$C$22,Assumptions!$C$20-(F$4-2027)*Assumptions!$C$21)</x:f>
        <x:v>0.45</x:v>
      </x:c>
      <x:c r="G24" s="51" t="n">
        <x:f>MAX(Assumptions!$C$22,Assumptions!$C$20-(G$4-2027)*Assumptions!$C$21)</x:f>
        <x:v>0.39</x:v>
      </x:c>
      <x:c r="H24" s="51" t="n">
        <x:f>MAX(Assumptions!$C$22,Assumptions!$C$20-(H$4-2027)*Assumptions!$C$21)</x:f>
        <x:v>0.33</x:v>
      </x:c>
      <x:c r="I24" s="51" t="n">
        <x:f>MAX(Assumptions!$C$22,Assumptions!$C$20-(I$4-2027)*Assumptions!$C$21)</x:f>
        <x:v>0.27</x:v>
      </x:c>
    </x:row>
    <x:row r="25">
      <x:c r="A25" t="str">
        <x:v>Research and development / revenue</x:v>
      </x:c>
      <x:c r="B25" s="51"/>
      <x:c r="C25" s="51" t="n">
        <x:f>MAX(Assumptions!$C$25,Assumptions!$C$23-(C$4-2027)*Assumptions!$C$24)</x:f>
        <x:v>0.42</x:v>
      </x:c>
      <x:c r="D25" s="51" t="n">
        <x:f>MAX(Assumptions!$C$25,Assumptions!$C$23-(D$4-2027)*Assumptions!$C$24)</x:f>
        <x:v>0.385</x:v>
      </x:c>
      <x:c r="E25" s="51" t="n">
        <x:f>MAX(Assumptions!$C$25,Assumptions!$C$23-(E$4-2027)*Assumptions!$C$24)</x:f>
        <x:v>0.35</x:v>
      </x:c>
      <x:c r="F25" s="51" t="n">
        <x:f>MAX(Assumptions!$C$25,Assumptions!$C$23-(F$4-2027)*Assumptions!$C$24)</x:f>
        <x:v>0.31499999999999995</x:v>
      </x:c>
      <x:c r="G25" s="51" t="n">
        <x:f>MAX(Assumptions!$C$25,Assumptions!$C$23-(G$4-2027)*Assumptions!$C$24)</x:f>
        <x:v>0.27999999999999997</x:v>
      </x:c>
      <x:c r="H25" s="51" t="n">
        <x:f>MAX(Assumptions!$C$25,Assumptions!$C$23-(H$4-2027)*Assumptions!$C$24)</x:f>
        <x:v>0.24499999999999997</x:v>
      </x:c>
      <x:c r="I25" s="51" t="n">
        <x:f>MAX(Assumptions!$C$25,Assumptions!$C$23-(I$4-2027)*Assumptions!$C$24)</x:f>
        <x:v>0.20999999999999996</x:v>
      </x:c>
    </x:row>
    <x:row r="26">
      <x:c r="A26" t="str">
        <x:v>General and administrative / revenue</x:v>
      </x:c>
      <x:c r="B26" s="51"/>
      <x:c r="C26" s="51" t="n">
        <x:f>MAX(Assumptions!$C$28,Assumptions!$C$26-(C$4-2027)*Assumptions!$C$27)</x:f>
        <x:v>0.25</x:v>
      </x:c>
      <x:c r="D26" s="51" t="n">
        <x:f>MAX(Assumptions!$C$28,Assumptions!$C$26-(D$4-2027)*Assumptions!$C$27)</x:f>
        <x:v>0.235</x:v>
      </x:c>
      <x:c r="E26" s="51" t="n">
        <x:f>MAX(Assumptions!$C$28,Assumptions!$C$26-(E$4-2027)*Assumptions!$C$27)</x:f>
        <x:v>0.22</x:v>
      </x:c>
      <x:c r="F26" s="51" t="n">
        <x:f>MAX(Assumptions!$C$28,Assumptions!$C$26-(F$4-2027)*Assumptions!$C$27)</x:f>
        <x:v>0.20500000000000002</x:v>
      </x:c>
      <x:c r="G26" s="51" t="n">
        <x:f>MAX(Assumptions!$C$28,Assumptions!$C$26-(G$4-2027)*Assumptions!$C$27)</x:f>
        <x:v>0.19</x:v>
      </x:c>
      <x:c r="H26" s="51" t="n">
        <x:f>MAX(Assumptions!$C$28,Assumptions!$C$26-(H$4-2027)*Assumptions!$C$27)</x:f>
        <x:v>0.175</x:v>
      </x:c>
      <x:c r="I26" s="51" t="n">
        <x:f>MAX(Assumptions!$C$28,Assumptions!$C$26-(I$4-2027)*Assumptions!$C$27)</x:f>
        <x:v>0.16</x:v>
      </x:c>
    </x:row>
    <x:row r="27">
      <x:c r="A27" s="46" t="str">
        <x:v>Total modeled operating expenses ($m)</x:v>
      </x:c>
      <x:c r="B27" s="54"/>
      <x:c r="C27" s="54" t="n">
        <x:f>C21*SUM(C24:C26)</x:f>
        <x:v>6.9257916</x:v>
      </x:c>
      <x:c r="D27" s="54" t="n">
        <x:f>D21*SUM(D24:D26)</x:f>
        <x:v>9.184127788836001</x:v>
      </x:c>
      <x:c r="E27" s="54" t="n">
        <x:f>E21*SUM(E24:E26)</x:f>
        <x:v>11.733746417809416</x:v>
      </x:c>
      <x:c r="F27" s="54" t="n">
        <x:f>F21*SUM(F24:F26)</x:f>
        <x:v>14.4045530672006</x:v>
      </x:c>
      <x:c r="G27" s="54" t="n">
        <x:f>G21*SUM(G24:G26)</x:f>
        <x:v>16.933584627155224</x:v>
      </x:c>
      <x:c r="H27" s="54" t="n">
        <x:f>H21*SUM(H24:H26)</x:f>
        <x:v>18.977179530751197</x:v>
      </x:c>
      <x:c r="I27" s="54" t="n">
        <x:f>I21*SUM(I24:I26)</x:f>
        <x:v>20.148001045445852</x:v>
      </x:c>
    </x:row>
    <x:row r="28">
      <x:c r="A28" s="38" t="str">
        <x:v>EBITDA ($m)</x:v>
      </x:c>
      <x:c r="B28" s="53"/>
      <x:c r="C28" s="53" t="n">
        <x:f>C23-C27</x:f>
        <x:v>-2.77031664</x:v>
      </x:c>
      <x:c r="D28" s="53" t="n">
        <x:f>D23-D27</x:f>
        <x:v>-3.164279322204</x:v>
      </x:c>
      <x:c r="E28" s="53" t="n">
        <x:f>E23-E27</x:f>
        <x:v>-3.259374004947059</x:v>
      </x:c>
      <x:c r="F28" s="53" t="n">
        <x:f>F23-F27</x:f>
        <x:v>-2.8215103946063014</x:v>
      </x:c>
      <x:c r="G28" s="53" t="n">
        <x:f>G23-G27</x:f>
        <x:v>-1.5752171746190875</x:v>
      </x:c>
      <x:c r="H28" s="53" t="n">
        <x:f>H23-H27</x:f>
        <x:v>0.759087181230047</x:v>
      </x:c>
      <x:c r="I28" s="53" t="n">
        <x:f>I23-I27</x:f>
        <x:v>4.407375228691283</x:v>
      </x:c>
    </x:row>
    <x:row r="29">
      <x:c r="A29" t="str">
        <x:v>EBITDA margin</x:v>
      </x:c>
      <x:c r="B29" s="51"/>
      <x:c r="C29" s="51" t="n">
        <x:f>IFERROR(C28/C21,0)</x:f>
        <x:v>-0.52</x:v>
      </x:c>
      <x:c r="D29" s="51" t="n">
        <x:f>IFERROR(D28/D21,0)</x:f>
        <x:v>-0.4099999999999999</x:v>
      </x:c>
      <x:c r="E29" s="51" t="n">
        <x:f>IFERROR(E28/E21,0)</x:f>
        <x:v>-0.29999999999999993</x:v>
      </x:c>
      <x:c r="F29" s="51" t="n">
        <x:f>IFERROR(F28/F21,0)</x:f>
        <x:v>-0.18999999999999986</x:v>
      </x:c>
      <x:c r="G29" s="51" t="n">
        <x:f>IFERROR(G28/G21,0)</x:f>
        <x:v>-0.07999999999999984</x:v>
      </x:c>
      <x:c r="H29" s="51" t="n">
        <x:f>IFERROR(H28/H21,0)</x:f>
        <x:v>0.029999999999999968</x:v>
      </x:c>
      <x:c r="I29" s="51" t="n">
        <x:f>IFERROR(I28/I21,0)</x:f>
        <x:v>0.14000000000000007</x:v>
      </x:c>
    </x:row>
    <x:row r="30">
      <x:c r="B30" s="52"/>
      <x:c r="C30" s="52"/>
      <x:c r="D30" s="52"/>
      <x:c r="E30" s="52"/>
      <x:c r="F30" s="52"/>
      <x:c r="G30" s="52"/>
      <x:c r="H30" s="52"/>
      <x:c r="I30" s="52"/>
    </x:row>
    <x:row r="31">
      <x:c r="A31" s="46" t="str">
        <x:v>2033 projected annual revenue for exit valuation</x:v>
      </x:c>
      <x:c r="B31" s="54"/>
      <x:c r="C31" s="54" t="n">
        <x:f>C21</x:f>
        <x:v>5.327532</x:v>
      </x:c>
      <x:c r="D31" s="54" t="n">
        <x:f>D21</x:f>
        <x:v>7.7177544444000015</x:v>
      </x:c>
      <x:c r="E31" s="54" t="n">
        <x:f>E21</x:f>
        <x:v>10.8645800164902</x:v>
      </x:c>
      <x:c r="F31" s="54" t="n">
        <x:f>F21</x:f>
        <x:v>14.850054708454229</x:v>
      </x:c>
      <x:c r="G31" s="54" t="n">
        <x:f>G21</x:f>
        <x:v>19.690214682738635</x:v>
      </x:c>
      <x:c r="H31" s="54" t="n">
        <x:f>H21</x:f>
        <x:v>25.302906041001595</x:v>
      </x:c>
      <x:c r="I31" s="54" t="n">
        <x:f>I21</x:f>
        <x:v>31.481251633509146</x:v>
      </x:c>
    </x:row>
  </x:sheetData>
  <x:mergeCells>
    <x:mergeCell ref="A1:I2"/>
    <x:mergeCell ref="A3:I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6" hidden="0" customWidth="1"/>
  </x:cols>
  <x:sheetData>
    <x:row r="1" ht="24" customHeight="1">
      <x:c r="A1" s="3" t="str">
        <x:v>CHOICE | BULL OPERATING FORECAST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35" customHeight="1">
      <x:c r="A3" s="10" t="str">
        <x:v>Year 2026 is an October point-in-time run-rate baseline. 2027-33 figures are illustrative forecasts. All USD amounts are millions unless stated.</x:v>
      </x:c>
      <x:c r="B3" s="10"/>
      <x:c r="C3" s="10"/>
      <x:c r="D3" s="10"/>
      <x:c r="E3" s="10"/>
      <x:c r="F3" s="10"/>
      <x:c r="G3" s="10"/>
      <x:c r="H3" s="10"/>
      <x:c r="I3" s="10"/>
    </x:row>
    <x:row r="4">
      <x:c r="A4" s="25" t="str">
        <x:v>Metric</x:v>
      </x:c>
      <x:c r="B4" s="25" t="n">
        <x:v>2026</x:v>
      </x:c>
      <x:c r="C4" s="25" t="n">
        <x:v>2027</x:v>
      </x:c>
      <x:c r="D4" s="25" t="n">
        <x:v>2028</x:v>
      </x:c>
      <x:c r="E4" s="25" t="n">
        <x:v>2029</x:v>
      </x:c>
      <x:c r="F4" s="25" t="n">
        <x:v>2030</x:v>
      </x:c>
      <x:c r="G4" s="25" t="n">
        <x:v>2031</x:v>
      </x:c>
      <x:c r="H4" s="25" t="n">
        <x:v>2032</x:v>
      </x:c>
      <x:c r="I4" s="25" t="n">
        <x:v>2033</x:v>
      </x:c>
    </x:row>
    <x:row r="6">
      <x:c r="A6" t="str">
        <x:v>Paying restaurant locations, year-end</x:v>
      </x:c>
      <x:c r="B6" s="50" t="n">
        <x:f>Assumptions!$B$5</x:f>
        <x:v>9000</x:v>
      </x:c>
      <x:c r="C6" s="50" t="n">
        <x:f>B6+C11</x:f>
        <x:v>14220</x:v>
      </x:c>
      <x:c r="D6" s="50" t="n">
        <x:f>C6+D11</x:f>
        <x:v>21756.6</x:v>
      </x:c>
      <x:c r="E6" s="50" t="n">
        <x:f>D6+E11</x:f>
        <x:v>32199.767999999996</x:v>
      </x:c>
      <x:c r="F6" s="50" t="n">
        <x:f>E6+F11</x:f>
        <x:v>46045.66824</x:v>
      </x:c>
      <x:c r="G6" s="50" t="n">
        <x:f>F6+G11</x:f>
        <x:v>63543.022171200006</x:v>
      </x:c>
      <x:c r="H6" s="50" t="n">
        <x:f>G6+H11</x:f>
        <x:v>84512.21948769601</x:v>
      </x:c>
      <x:c r="I6" s="50" t="n">
        <x:f>H6+I11</x:f>
        <x:v>108175.64094425089</x:v>
      </x:c>
    </x:row>
    <x:row r="7">
      <x:c r="A7" t="str">
        <x:v>Gross new customer rate</x:v>
      </x:c>
      <x:c r="B7" s="51"/>
      <x:c r="C7" s="51" t="n">
        <x:f>MAX(Assumptions!$D$16,Assumptions!$D$14-(C$4-2027)*Assumptions!$D$15)</x:f>
        <x:v>0.66</x:v>
      </x:c>
      <x:c r="D7" s="51" t="n">
        <x:f>MAX(Assumptions!$D$16,Assumptions!$D$14-(D$4-2027)*Assumptions!$D$15)</x:f>
        <x:v>0.61</x:v>
      </x:c>
      <x:c r="E7" s="51" t="n">
        <x:f>MAX(Assumptions!$D$16,Assumptions!$D$14-(E$4-2027)*Assumptions!$D$15)</x:f>
        <x:v>0.56</x:v>
      </x:c>
      <x:c r="F7" s="51" t="n">
        <x:f>MAX(Assumptions!$D$16,Assumptions!$D$14-(F$4-2027)*Assumptions!$D$15)</x:f>
        <x:v>0.51</x:v>
      </x:c>
      <x:c r="G7" s="51" t="n">
        <x:f>MAX(Assumptions!$D$16,Assumptions!$D$14-(G$4-2027)*Assumptions!$D$15)</x:f>
        <x:v>0.46</x:v>
      </x:c>
      <x:c r="H7" s="51" t="n">
        <x:f>MAX(Assumptions!$D$16,Assumptions!$D$14-(H$4-2027)*Assumptions!$D$15)</x:f>
        <x:v>0.41000000000000003</x:v>
      </x:c>
      <x:c r="I7" s="51" t="n">
        <x:f>MAX(Assumptions!$D$16,Assumptions!$D$14-(I$4-2027)*Assumptions!$D$15)</x:f>
        <x:v>0.36</x:v>
      </x:c>
    </x:row>
    <x:row r="8">
      <x:c r="A8" t="str">
        <x:v>Gross new paying restaurants</x:v>
      </x:c>
      <x:c r="B8" s="50"/>
      <x:c r="C8" s="50" t="n">
        <x:f>B6*C7</x:f>
        <x:v>5940</x:v>
      </x:c>
      <x:c r="D8" s="50" t="n">
        <x:f>C6*D7</x:f>
        <x:v>8674.199999999999</x:v>
      </x:c>
      <x:c r="E8" s="50" t="n">
        <x:f>D6*E7</x:f>
        <x:v>12183.696</x:v>
      </x:c>
      <x:c r="F8" s="50" t="n">
        <x:f>E6*F7</x:f>
        <x:v>16421.88168</x:v>
      </x:c>
      <x:c r="G8" s="50" t="n">
        <x:f>F6*G7</x:f>
        <x:v>21181.007390400002</x:v>
      </x:c>
      <x:c r="H8" s="50" t="n">
        <x:f>G6*H7</x:f>
        <x:v>26052.639090192006</x:v>
      </x:c>
      <x:c r="I8" s="50" t="n">
        <x:f>H6*I7</x:f>
        <x:v>30424.399015570565</x:v>
      </x:c>
    </x:row>
    <x:row r="9">
      <x:c r="A9" t="str">
        <x:v>Annual churn rate</x:v>
      </x:c>
      <x:c r="B9" s="51"/>
      <x:c r="C9" s="51" t="n">
        <x:f>Assumptions!$D$17</x:f>
        <x:v>0.08</x:v>
      </x:c>
      <x:c r="D9" s="51" t="n">
        <x:f>Assumptions!$D$17</x:f>
        <x:v>0.08</x:v>
      </x:c>
      <x:c r="E9" s="51" t="n">
        <x:f>Assumptions!$D$17</x:f>
        <x:v>0.08</x:v>
      </x:c>
      <x:c r="F9" s="51" t="n">
        <x:f>Assumptions!$D$17</x:f>
        <x:v>0.08</x:v>
      </x:c>
      <x:c r="G9" s="51" t="n">
        <x:f>Assumptions!$D$17</x:f>
        <x:v>0.08</x:v>
      </x:c>
      <x:c r="H9" s="51" t="n">
        <x:f>Assumptions!$D$17</x:f>
        <x:v>0.08</x:v>
      </x:c>
      <x:c r="I9" s="51" t="n">
        <x:f>Assumptions!$D$17</x:f>
        <x:v>0.08</x:v>
      </x:c>
    </x:row>
    <x:row r="10">
      <x:c r="A10" t="str">
        <x:v>Churned paying restaurants</x:v>
      </x:c>
      <x:c r="B10" s="50"/>
      <x:c r="C10" s="50" t="n">
        <x:f>B6*C9</x:f>
        <x:v>720</x:v>
      </x:c>
      <x:c r="D10" s="50" t="n">
        <x:f>C6*D9</x:f>
        <x:v>1137.6000000000001</x:v>
      </x:c>
      <x:c r="E10" s="50" t="n">
        <x:f>D6*E9</x:f>
        <x:v>1740.528</x:v>
      </x:c>
      <x:c r="F10" s="50" t="n">
        <x:f>E6*F9</x:f>
        <x:v>2575.9814399999996</x:v>
      </x:c>
      <x:c r="G10" s="50" t="n">
        <x:f>F6*G9</x:f>
        <x:v>3683.6534592</x:v>
      </x:c>
      <x:c r="H10" s="50" t="n">
        <x:f>G6*H9</x:f>
        <x:v>5083.441773696</x:v>
      </x:c>
      <x:c r="I10" s="50" t="n">
        <x:f>H6*I9</x:f>
        <x:v>6760.977559015681</x:v>
      </x:c>
    </x:row>
    <x:row r="11">
      <x:c r="A11" t="str">
        <x:v>Net added paying restaurants</x:v>
      </x:c>
      <x:c r="B11" s="50"/>
      <x:c r="C11" s="50" t="n">
        <x:f>C8-C10</x:f>
        <x:v>5220</x:v>
      </x:c>
      <x:c r="D11" s="50" t="n">
        <x:f>D8-D10</x:f>
        <x:v>7536.5999999999985</x:v>
      </x:c>
      <x:c r="E11" s="50" t="n">
        <x:f>E8-E10</x:f>
        <x:v>10443.168</x:v>
      </x:c>
      <x:c r="F11" s="50" t="n">
        <x:f>F8-F10</x:f>
        <x:v>13845.900239999999</x:v>
      </x:c>
      <x:c r="G11" s="50" t="n">
        <x:f>G8-G10</x:f>
        <x:v>17497.353931200003</x:v>
      </x:c>
      <x:c r="H11" s="50" t="n">
        <x:f>H8-H10</x:f>
        <x:v>20969.197316496007</x:v>
      </x:c>
      <x:c r="I11" s="50" t="n">
        <x:f>I8-I10</x:f>
        <x:v>23663.421456554883</x:v>
      </x:c>
    </x:row>
    <x:row r="12">
      <x:c r="A12" t="str">
        <x:v>Effective monthly subscription ARPA (USD)</x:v>
      </x:c>
      <x:c r="B12" s="52" t="n">
        <x:f>Assumptions!$D$13</x:f>
        <x:v>65</x:v>
      </x:c>
      <x:c r="C12" s="52" t="n">
        <x:f>B12*(1+Assumptions!$D$18)</x:f>
        <x:v>68.9</x:v>
      </x:c>
      <x:c r="D12" s="52" t="n">
        <x:f>C12*(1+Assumptions!$D$18)</x:f>
        <x:v>73.034</x:v>
      </x:c>
      <x:c r="E12" s="52" t="n">
        <x:f>D12*(1+Assumptions!$D$18)</x:f>
        <x:v>77.41604000000001</x:v>
      </x:c>
      <x:c r="F12" s="52" t="n">
        <x:f>E12*(1+Assumptions!$D$18)</x:f>
        <x:v>82.06100240000002</x:v>
      </x:c>
      <x:c r="G12" s="52" t="n">
        <x:f>F12*(1+Assumptions!$D$18)</x:f>
        <x:v>86.98466254400003</x:v>
      </x:c>
      <x:c r="H12" s="52" t="n">
        <x:f>G12*(1+Assumptions!$D$18)</x:f>
        <x:v>92.20374229664004</x:v>
      </x:c>
      <x:c r="I12" s="52" t="n">
        <x:f>H12*(1+Assumptions!$D$18)</x:f>
        <x:v>97.73596683443846</x:v>
      </x:c>
    </x:row>
    <x:row r="13">
      <x:c r="A13" s="38" t="str">
        <x:v>Annualized year-end subscription run rate ($m)</x:v>
      </x:c>
      <x:c r="B13" s="53" t="n">
        <x:f>B6*B12*12/1000000</x:f>
        <x:v>7.02</x:v>
      </x:c>
      <x:c r="C13" s="53" t="n">
        <x:f>C6*C12*12/1000000</x:f>
        <x:v>11.757096000000002</x:v>
      </x:c>
      <x:c r="D13" s="53" t="n">
        <x:f>D6*D12*12/1000000</x:f>
        <x:v>19.0676582928</x:v>
      </x:c>
      <x:c r="E13" s="53" t="n">
        <x:f>E6*E12*12/1000000</x:f>
        <x:v>29.91334232974464</x:v>
      </x:c>
      <x:c r="F13" s="53" t="n">
        <x:f>F6*F12*12/1000000</x:f>
        <x:v>45.34264430342694</x:v>
      </x:c>
      <x:c r="G13" s="53" t="n">
        <x:f>G6*G12*12/1000000</x:f>
        <x:v>66.32722008705294</x:v>
      </x:c>
      <x:c r="H13" s="53" t="n">
        <x:f>H6*H12*12/1000000</x:f>
        <x:v>93.50811487872724</x:v>
      </x:c>
      <x:c r="I13" s="53" t="n">
        <x:f>I6*I12*12/1000000</x:f>
        <x:v>126.87181026745712</x:v>
      </x:c>
    </x:row>
    <x:row r="14">
      <x:c r="A14" t="str">
        <x:v>Average paying locations (fiscal year)</x:v>
      </x:c>
      <x:c r="B14" s="50"/>
      <x:c r="C14" s="50" t="n">
        <x:f>AVERAGE(B6,C6)</x:f>
        <x:v>11610</x:v>
      </x:c>
      <x:c r="D14" s="50" t="n">
        <x:f>AVERAGE(C6,D6)</x:f>
        <x:v>17988.3</x:v>
      </x:c>
      <x:c r="E14" s="50" t="n">
        <x:f>AVERAGE(D6,E6)</x:f>
        <x:v>26978.183999999997</x:v>
      </x:c>
      <x:c r="F14" s="50" t="n">
        <x:f>AVERAGE(E6,F6)</x:f>
        <x:v>39122.71812</x:v>
      </x:c>
      <x:c r="G14" s="50" t="n">
        <x:f>AVERAGE(F6,G6)</x:f>
        <x:v>54794.3452056</x:v>
      </x:c>
      <x:c r="H14" s="50" t="n">
        <x:f>AVERAGE(G6,H6)</x:f>
        <x:v>74027.62082944802</x:v>
      </x:c>
      <x:c r="I14" s="50" t="n">
        <x:f>AVERAGE(H6,I6)</x:f>
        <x:v>96343.93021597345</x:v>
      </x:c>
    </x:row>
    <x:row r="15">
      <x:c r="A15" t="str">
        <x:v>Average effective ARPA (USD)</x:v>
      </x:c>
      <x:c r="B15" s="52"/>
      <x:c r="C15" s="52" t="n">
        <x:f>AVERAGE(B12,C12)</x:f>
        <x:v>66.95</x:v>
      </x:c>
      <x:c r="D15" s="52" t="n">
        <x:f>AVERAGE(C12,D12)</x:f>
        <x:v>70.96700000000001</x:v>
      </x:c>
      <x:c r="E15" s="52" t="n">
        <x:f>AVERAGE(D12,E12)</x:f>
        <x:v>75.22502</x:v>
      </x:c>
      <x:c r="F15" s="52" t="n">
        <x:f>AVERAGE(E12,F12)</x:f>
        <x:v>79.73852120000001</x:v>
      </x:c>
      <x:c r="G15" s="52" t="n">
        <x:f>AVERAGE(F12,G12)</x:f>
        <x:v>84.52283247200003</x:v>
      </x:c>
      <x:c r="H15" s="52" t="n">
        <x:f>AVERAGE(G12,H12)</x:f>
        <x:v>89.59420242032004</x:v>
      </x:c>
      <x:c r="I15" s="52" t="n">
        <x:f>AVERAGE(H12,I12)</x:f>
        <x:v>94.96985456553925</x:v>
      </x:c>
    </x:row>
    <x:row r="16">
      <x:c r="A16" s="38" t="str">
        <x:v>Recognized subscription revenue, modeled ($m)</x:v>
      </x:c>
      <x:c r="B16" s="53"/>
      <x:c r="C16" s="53" t="n">
        <x:f>C14*C15*12/1000000</x:f>
        <x:v>9.327474</x:v>
      </x:c>
      <x:c r="D16" s="53" t="n">
        <x:f>D14*D15*12/1000000</x:f>
        <x:v>15.318908233200002</x:v>
      </x:c>
      <x:c r="E16" s="53" t="n">
        <x:f>E14*E15*12/1000000</x:f>
        <x:v>24.353213171564157</x:v>
      </x:c>
      <x:c r="F16" s="53" t="n">
        <x:f>F14*F15*12/1000000</x:f>
        <x:v>37.435052258558926</x:v>
      </x:c>
      <x:c r="G16" s="53" t="n">
        <x:f>G14*G15*12/1000000</x:f>
        <x:v>55.57647912271041</x:v>
      </x:c>
      <x:c r="H16" s="53" t="n">
        <x:f>H14*H15*12/1000000</x:f>
        <x:v>79.5893477434592</x:v>
      </x:c>
      <x:c r="I16" s="53" t="n">
        <x:f>I14*I15*12/1000000</x:f>
        <x:v>109.79722849060154</x:v>
      </x:c>
    </x:row>
    <x:row r="17">
      <x:c r="A17" t="str">
        <x:v>Platform restaurant GMV annualized/forecast ($m)</x:v>
      </x:c>
      <x:c r="B17" s="52" t="n">
        <x:f>Assumptions!$B$6*12</x:f>
        <x:v>600</x:v>
      </x:c>
      <x:c r="C17" s="52" t="n">
        <x:f>$B$17*(C14/$B$6)*(1+Assumptions!$D$30)^(C$4-2026)</x:f>
        <x:v>835.9200000000001</x:v>
      </x:c>
      <x:c r="D17" s="52" t="n">
        <x:f>$B$17*(D14/$B$6)*(1+Assumptions!$D$30)^(D$4-2026)</x:f>
        <x:v>1398.7702080000001</x:v>
      </x:c>
      <x:c r="E17" s="52" t="n">
        <x:f>$B$17*(E14/$B$6)*(1+Assumptions!$D$30)^(E$4-2026)</x:f>
        <x:v>2265.6494748672</x:v>
      </x:c>
      <x:c r="F17" s="52" t="n">
        <x:f>$B$17*(F14/$B$6)*(1+Assumptions!$D$30)^(F$4-2026)</x:f>
        <x:v>3548.4017391634643</x:v>
      </x:c>
      <x:c r="G17" s="52" t="n">
        <x:f>$B$17*(G14/$B$6)*(1+Assumptions!$D$30)^(G$4-2026)</x:f>
        <x:v>5367.391324030637</x:v>
      </x:c>
      <x:c r="H17" s="52" t="n">
        <x:f>$B$17*(H14/$B$6)*(1+Assumptions!$D$30)^(H$4-2026)</x:f>
        <x:v>7831.502045525702</x:v>
      </x:c>
      <x:c r="I17" s="52" t="n">
        <x:f>$B$17*(I14/$B$6)*(1+Assumptions!$D$30)^(I$4-2026)</x:f>
        <x:v>11007.771050249057</x:v>
      </x:c>
    </x:row>
    <x:row r="18">
      <x:c r="A18" t="str">
        <x:v>Eligible GMV share, UNVERIFIED</x:v>
      </x:c>
      <x:c r="B18" s="51"/>
      <x:c r="C18" s="51" t="n">
        <x:f>Assumptions!$D$32</x:f>
        <x:v>0</x:v>
      </x:c>
      <x:c r="D18" s="51" t="n">
        <x:f>Assumptions!$D$32</x:f>
        <x:v>0</x:v>
      </x:c>
      <x:c r="E18" s="51" t="n">
        <x:f>Assumptions!$D$32</x:f>
        <x:v>0</x:v>
      </x:c>
      <x:c r="F18" s="51" t="n">
        <x:f>Assumptions!$D$32</x:f>
        <x:v>0</x:v>
      </x:c>
      <x:c r="G18" s="51" t="n">
        <x:f>Assumptions!$D$32</x:f>
        <x:v>0</x:v>
      </x:c>
      <x:c r="H18" s="51" t="n">
        <x:f>Assumptions!$D$32</x:f>
        <x:v>0</x:v>
      </x:c>
      <x:c r="I18" s="51" t="n">
        <x:f>Assumptions!$D$32</x:f>
        <x:v>0</x:v>
      </x:c>
    </x:row>
    <x:row r="19">
      <x:c r="A19" t="str">
        <x:v>Net company take rate, UNVERIFIED</x:v>
      </x:c>
      <x:c r="B19" s="51"/>
      <x:c r="C19" s="51" t="n">
        <x:f>Assumptions!$D$31</x:f>
        <x:v>0</x:v>
      </x:c>
      <x:c r="D19" s="51" t="n">
        <x:f>Assumptions!$D$31</x:f>
        <x:v>0</x:v>
      </x:c>
      <x:c r="E19" s="51" t="n">
        <x:f>Assumptions!$D$31</x:f>
        <x:v>0</x:v>
      </x:c>
      <x:c r="F19" s="51" t="n">
        <x:f>Assumptions!$D$31</x:f>
        <x:v>0</x:v>
      </x:c>
      <x:c r="G19" s="51" t="n">
        <x:f>Assumptions!$D$31</x:f>
        <x:v>0</x:v>
      </x:c>
      <x:c r="H19" s="51" t="n">
        <x:f>Assumptions!$D$31</x:f>
        <x:v>0</x:v>
      </x:c>
      <x:c r="I19" s="51" t="n">
        <x:f>Assumptions!$D$31</x:f>
        <x:v>0</x:v>
      </x:c>
    </x:row>
    <x:row r="20">
      <x:c r="A20" t="str">
        <x:v>Modeled other monetization revenue ($m)</x:v>
      </x:c>
      <x:c r="B20" s="52"/>
      <x:c r="C20" s="52" t="n">
        <x:f>C17*C18*C19</x:f>
        <x:v>0</x:v>
      </x:c>
      <x:c r="D20" s="52" t="n">
        <x:f>D17*D18*D19</x:f>
        <x:v>0</x:v>
      </x:c>
      <x:c r="E20" s="52" t="n">
        <x:f>E17*E18*E19</x:f>
        <x:v>0</x:v>
      </x:c>
      <x:c r="F20" s="52" t="n">
        <x:f>F17*F18*F19</x:f>
        <x:v>0</x:v>
      </x:c>
      <x:c r="G20" s="52" t="n">
        <x:f>G17*G18*G19</x:f>
        <x:v>0</x:v>
      </x:c>
      <x:c r="H20" s="52" t="n">
        <x:f>H17*H18*H19</x:f>
        <x:v>0</x:v>
      </x:c>
      <x:c r="I20" s="52" t="n">
        <x:f>I17*I18*I19</x:f>
        <x:v>0</x:v>
      </x:c>
    </x:row>
    <x:row r="21">
      <x:c r="A21" s="38" t="str">
        <x:v>Total recognized modeled revenue ($m)</x:v>
      </x:c>
      <x:c r="B21" s="53"/>
      <x:c r="C21" s="53" t="n">
        <x:f>SUM(C16,C20)</x:f>
        <x:v>9.327474</x:v>
      </x:c>
      <x:c r="D21" s="53" t="n">
        <x:f>SUM(D16,D20)</x:f>
        <x:v>15.318908233200002</x:v>
      </x:c>
      <x:c r="E21" s="53" t="n">
        <x:f>SUM(E16,E20)</x:f>
        <x:v>24.353213171564157</x:v>
      </x:c>
      <x:c r="F21" s="53" t="n">
        <x:f>SUM(F16,F20)</x:f>
        <x:v>37.435052258558926</x:v>
      </x:c>
      <x:c r="G21" s="53" t="n">
        <x:f>SUM(G16,G20)</x:f>
        <x:v>55.57647912271041</x:v>
      </x:c>
      <x:c r="H21" s="53" t="n">
        <x:f>SUM(H16,H20)</x:f>
        <x:v>79.5893477434592</x:v>
      </x:c>
      <x:c r="I21" s="53" t="n">
        <x:f>SUM(I16,I20)</x:f>
        <x:v>109.79722849060154</x:v>
      </x:c>
    </x:row>
    <x:row r="22">
      <x:c r="A22" t="str">
        <x:v>Subscription gross margin</x:v>
      </x:c>
      <x:c r="B22" s="51"/>
      <x:c r="C22" s="51" t="n">
        <x:f>Assumptions!$D$19</x:f>
        <x:v>0.84</x:v>
      </x:c>
      <x:c r="D22" s="51" t="n">
        <x:f>Assumptions!$D$19</x:f>
        <x:v>0.84</x:v>
      </x:c>
      <x:c r="E22" s="51" t="n">
        <x:f>Assumptions!$D$19</x:f>
        <x:v>0.84</x:v>
      </x:c>
      <x:c r="F22" s="51" t="n">
        <x:f>Assumptions!$D$19</x:f>
        <x:v>0.84</x:v>
      </x:c>
      <x:c r="G22" s="51" t="n">
        <x:f>Assumptions!$D$19</x:f>
        <x:v>0.84</x:v>
      </x:c>
      <x:c r="H22" s="51" t="n">
        <x:f>Assumptions!$D$19</x:f>
        <x:v>0.84</x:v>
      </x:c>
      <x:c r="I22" s="51" t="n">
        <x:f>Assumptions!$D$19</x:f>
        <x:v>0.84</x:v>
      </x:c>
    </x:row>
    <x:row r="23">
      <x:c r="A23" s="46" t="str">
        <x:v>Gross profit ($m)</x:v>
      </x:c>
      <x:c r="B23" s="54"/>
      <x:c r="C23" s="54" t="n">
        <x:f>C16*C22+C20*Assumptions!$D$34</x:f>
        <x:v>7.83507816</x:v>
      </x:c>
      <x:c r="D23" s="54" t="n">
        <x:f>D16*D22+D20*Assumptions!$D$34</x:f>
        <x:v>12.867882915888002</x:v>
      </x:c>
      <x:c r="E23" s="54" t="n">
        <x:f>E16*E22+E20*Assumptions!$D$34</x:f>
        <x:v>20.45669906411389</x:v>
      </x:c>
      <x:c r="F23" s="54" t="n">
        <x:f>F16*F22+F20*Assumptions!$D$34</x:f>
        <x:v>31.445443897189495</x:v>
      </x:c>
      <x:c r="G23" s="54" t="n">
        <x:f>G16*G22+G20*Assumptions!$D$34</x:f>
        <x:v>46.68424246307674</x:v>
      </x:c>
      <x:c r="H23" s="54" t="n">
        <x:f>H16*H22+H20*Assumptions!$D$34</x:f>
        <x:v>66.85505210450573</x:v>
      </x:c>
      <x:c r="I23" s="54" t="n">
        <x:f>I16*I22+I20*Assumptions!$D$34</x:f>
        <x:v>92.22967193210529</x:v>
      </x:c>
    </x:row>
    <x:row r="24">
      <x:c r="A24" t="str">
        <x:v>Sales and marketing expense / revenue</x:v>
      </x:c>
      <x:c r="B24" s="51"/>
      <x:c r="C24" s="51" t="n">
        <x:f>MAX(Assumptions!$D$22,Assumptions!$D$20-(C$4-2027)*Assumptions!$D$21)</x:f>
        <x:v>0.55</x:v>
      </x:c>
      <x:c r="D24" s="51" t="n">
        <x:f>MAX(Assumptions!$D$22,Assumptions!$D$20-(D$4-2027)*Assumptions!$D$21)</x:f>
        <x:v>0.5</x:v>
      </x:c>
      <x:c r="E24" s="51" t="n">
        <x:f>MAX(Assumptions!$D$22,Assumptions!$D$20-(E$4-2027)*Assumptions!$D$21)</x:f>
        <x:v>0.45000000000000007</x:v>
      </x:c>
      <x:c r="F24" s="51" t="n">
        <x:f>MAX(Assumptions!$D$22,Assumptions!$D$20-(F$4-2027)*Assumptions!$D$21)</x:f>
        <x:v>0.4</x:v>
      </x:c>
      <x:c r="G24" s="51" t="n">
        <x:f>MAX(Assumptions!$D$22,Assumptions!$D$20-(G$4-2027)*Assumptions!$D$21)</x:f>
        <x:v>0.35000000000000003</x:v>
      </x:c>
      <x:c r="H24" s="51" t="n">
        <x:f>MAX(Assumptions!$D$22,Assumptions!$D$20-(H$4-2027)*Assumptions!$D$21)</x:f>
        <x:v>0.30000000000000004</x:v>
      </x:c>
      <x:c r="I24" s="51" t="n">
        <x:f>MAX(Assumptions!$D$22,Assumptions!$D$20-(I$4-2027)*Assumptions!$D$21)</x:f>
        <x:v>0.25</x:v>
      </x:c>
    </x:row>
    <x:row r="25">
      <x:c r="A25" t="str">
        <x:v>Research and development / revenue</x:v>
      </x:c>
      <x:c r="B25" s="51"/>
      <x:c r="C25" s="51" t="n">
        <x:f>MAX(Assumptions!$D$25,Assumptions!$D$23-(C$4-2027)*Assumptions!$D$24)</x:f>
        <x:v>0.34</x:v>
      </x:c>
      <x:c r="D25" s="51" t="n">
        <x:f>MAX(Assumptions!$D$25,Assumptions!$D$23-(D$4-2027)*Assumptions!$D$24)</x:f>
        <x:v>0.30500000000000005</x:v>
      </x:c>
      <x:c r="E25" s="51" t="n">
        <x:f>MAX(Assumptions!$D$25,Assumptions!$D$23-(E$4-2027)*Assumptions!$D$24)</x:f>
        <x:v>0.27</x:v>
      </x:c>
      <x:c r="F25" s="51" t="n">
        <x:f>MAX(Assumptions!$D$25,Assumptions!$D$23-(F$4-2027)*Assumptions!$D$24)</x:f>
        <x:v>0.23500000000000001</x:v>
      </x:c>
      <x:c r="G25" s="51" t="n">
        <x:f>MAX(Assumptions!$D$25,Assumptions!$D$23-(G$4-2027)*Assumptions!$D$24)</x:f>
        <x:v>0.2</x:v>
      </x:c>
      <x:c r="H25" s="51" t="n">
        <x:f>MAX(Assumptions!$D$25,Assumptions!$D$23-(H$4-2027)*Assumptions!$D$24)</x:f>
        <x:v>0.165</x:v>
      </x:c>
      <x:c r="I25" s="51" t="n">
        <x:f>MAX(Assumptions!$D$25,Assumptions!$D$23-(I$4-2027)*Assumptions!$D$24)</x:f>
        <x:v>0.15</x:v>
      </x:c>
    </x:row>
    <x:row r="26">
      <x:c r="A26" t="str">
        <x:v>General and administrative / revenue</x:v>
      </x:c>
      <x:c r="B26" s="51"/>
      <x:c r="C26" s="51" t="n">
        <x:f>MAX(Assumptions!$D$28,Assumptions!$D$26-(C$4-2027)*Assumptions!$D$27)</x:f>
        <x:v>0.21</x:v>
      </x:c>
      <x:c r="D26" s="51" t="n">
        <x:f>MAX(Assumptions!$D$28,Assumptions!$D$26-(D$4-2027)*Assumptions!$D$27)</x:f>
        <x:v>0.19799999999999998</x:v>
      </x:c>
      <x:c r="E26" s="51" t="n">
        <x:f>MAX(Assumptions!$D$28,Assumptions!$D$26-(E$4-2027)*Assumptions!$D$27)</x:f>
        <x:v>0.186</x:v>
      </x:c>
      <x:c r="F26" s="51" t="n">
        <x:f>MAX(Assumptions!$D$28,Assumptions!$D$26-(F$4-2027)*Assumptions!$D$27)</x:f>
        <x:v>0.174</x:v>
      </x:c>
      <x:c r="G26" s="51" t="n">
        <x:f>MAX(Assumptions!$D$28,Assumptions!$D$26-(G$4-2027)*Assumptions!$D$27)</x:f>
        <x:v>0.16199999999999998</x:v>
      </x:c>
      <x:c r="H26" s="51" t="n">
        <x:f>MAX(Assumptions!$D$28,Assumptions!$D$26-(H$4-2027)*Assumptions!$D$27)</x:f>
        <x:v>0.15</x:v>
      </x:c>
      <x:c r="I26" s="51" t="n">
        <x:f>MAX(Assumptions!$D$28,Assumptions!$D$26-(I$4-2027)*Assumptions!$D$27)</x:f>
        <x:v>0.13799999999999998</x:v>
      </x:c>
    </x:row>
    <x:row r="27">
      <x:c r="A27" s="46" t="str">
        <x:v>Total modeled operating expenses ($m)</x:v>
      </x:c>
      <x:c r="B27" s="54"/>
      <x:c r="C27" s="54" t="n">
        <x:f>C21*SUM(C24:C26)</x:f>
        <x:v>10.2602214</x:v>
      </x:c>
      <x:c r="D27" s="54" t="n">
        <x:f>D21*SUM(D24:D26)</x:f>
        <x:v>15.364864957899604</x:v>
      </x:c>
      <x:c r="E27" s="54" t="n">
        <x:f>E21*SUM(E24:E26)</x:f>
        <x:v>22.06401113343713</x:v>
      </x:c>
      <x:c r="F27" s="54" t="n">
        <x:f>F21*SUM(F24:F26)</x:f>
        <x:v>30.28495727717417</x:v>
      </x:c>
      <x:c r="G27" s="54" t="n">
        <x:f>G21*SUM(G24:G26)</x:f>
        <x:v>39.57045313536981</x:v>
      </x:c>
      <x:c r="H27" s="54" t="n">
        <x:f>H21*SUM(H24:H26)</x:f>
        <x:v>48.94744886222742</x:v>
      </x:c>
      <x:c r="I27" s="54" t="n">
        <x:f>I21*SUM(I24:I26)</x:f>
        <x:v>59.070908927943634</x:v>
      </x:c>
    </x:row>
    <x:row r="28">
      <x:c r="A28" s="38" t="str">
        <x:v>EBITDA ($m)</x:v>
      </x:c>
      <x:c r="B28" s="53"/>
      <x:c r="C28" s="53" t="n">
        <x:f>C23-C27</x:f>
        <x:v>-2.4251432400000006</x:v>
      </x:c>
      <x:c r="D28" s="53" t="n">
        <x:f>D23-D27</x:f>
        <x:v>-2.4969820420116022</x:v>
      </x:c>
      <x:c r="E28" s="53" t="n">
        <x:f>E23-E27</x:f>
        <x:v>-1.607312069323239</x:v>
      </x:c>
      <x:c r="F28" s="53" t="n">
        <x:f>F23-F27</x:f>
        <x:v>1.1604866200153268</x:v>
      </x:c>
      <x:c r="G28" s="53" t="n">
        <x:f>G23-G27</x:f>
        <x:v>7.113789327706932</x:v>
      </x:c>
      <x:c r="H28" s="53" t="n">
        <x:f>H23-H27</x:f>
        <x:v>17.907603242278313</x:v>
      </x:c>
      <x:c r="I28" s="53" t="n">
        <x:f>I23-I27</x:f>
        <x:v>33.158763004161656</x:v>
      </x:c>
    </x:row>
    <x:row r="29">
      <x:c r="A29" t="str">
        <x:v>EBITDA margin</x:v>
      </x:c>
      <x:c r="B29" s="51"/>
      <x:c r="C29" s="51" t="n">
        <x:f>IFERROR(C28/C21,0)</x:f>
        <x:v>-0.26000000000000006</x:v>
      </x:c>
      <x:c r="D29" s="51" t="n">
        <x:f>IFERROR(D28/D21,0)</x:f>
        <x:v>-0.16300000000000012</x:v>
      </x:c>
      <x:c r="E29" s="51" t="n">
        <x:f>IFERROR(E28/E21,0)</x:f>
        <x:v>-0.0660000000000002</x:v>
      </x:c>
      <x:c r="F29" s="51" t="n">
        <x:f>IFERROR(F28/F21,0)</x:f>
        <x:v>0.031000000000000003</x:v>
      </x:c>
      <x:c r="G29" s="51" t="n">
        <x:f>IFERROR(G28/G21,0)</x:f>
        <x:v>0.128</x:v>
      </x:c>
      <x:c r="H29" s="51" t="n">
        <x:f>IFERROR(H28/H21,0)</x:f>
        <x:v>0.22499999999999992</x:v>
      </x:c>
      <x:c r="I29" s="51" t="n">
        <x:f>IFERROR(I28/I21,0)</x:f>
        <x:v>0.30199999999999994</x:v>
      </x:c>
    </x:row>
    <x:row r="30">
      <x:c r="B30" s="52"/>
      <x:c r="C30" s="52"/>
      <x:c r="D30" s="52"/>
      <x:c r="E30" s="52"/>
      <x:c r="F30" s="52"/>
      <x:c r="G30" s="52"/>
      <x:c r="H30" s="52"/>
      <x:c r="I30" s="52"/>
    </x:row>
    <x:row r="31">
      <x:c r="A31" s="46" t="str">
        <x:v>2033 projected annual revenue for exit valuation</x:v>
      </x:c>
      <x:c r="B31" s="54"/>
      <x:c r="C31" s="54" t="n">
        <x:f>C21</x:f>
        <x:v>9.327474</x:v>
      </x:c>
      <x:c r="D31" s="54" t="n">
        <x:f>D21</x:f>
        <x:v>15.318908233200002</x:v>
      </x:c>
      <x:c r="E31" s="54" t="n">
        <x:f>E21</x:f>
        <x:v>24.353213171564157</x:v>
      </x:c>
      <x:c r="F31" s="54" t="n">
        <x:f>F21</x:f>
        <x:v>37.435052258558926</x:v>
      </x:c>
      <x:c r="G31" s="54" t="n">
        <x:f>G21</x:f>
        <x:v>55.57647912271041</x:v>
      </x:c>
      <x:c r="H31" s="54" t="n">
        <x:f>H21</x:f>
        <x:v>79.5893477434592</x:v>
      </x:c>
      <x:c r="I31" s="54" t="n">
        <x:f>I21</x:f>
        <x:v>109.79722849060154</x:v>
      </x:c>
    </x:row>
  </x:sheetData>
  <x:mergeCells>
    <x:mergeCell ref="A1:I2"/>
    <x:mergeCell ref="A3:I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9" hidden="0" customWidth="1"/>
  </x:cols>
  <x:sheetData>
    <x:row r="1" ht="24" customHeight="1">
      <x:c r="A1" s="3" t="str">
        <x:v>ILLUSTRATIVE TRANSACTION &amp; INVESTOR RETURNS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4" ht="23" customHeight="1">
      <x:c r="A4" s="7" t="str">
        <x:v>ANALYST PROPOSED STRUCTURE, NOT COMPANY TERMS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</x:row>
    <x:row r="5">
      <x:c r="A5" t="str">
        <x:v>Entry pre-money valuation, USD m</x:v>
      </x:c>
      <x:c r="B5" s="14" t="n">
        <x:v>35</x:v>
      </x:c>
      <x:c r="D5" t="str">
        <x:v>Entry post-money ($m)</x:v>
      </x:c>
      <x:c r="E5" t="n">
        <x:f>SUM(B5:B6)</x:f>
        <x:v>40</x:v>
      </x:c>
    </x:row>
    <x:row r="6">
      <x:c r="A6" t="str">
        <x:v>Initial new-money investment, USD m</x:v>
      </x:c>
      <x:c r="B6" s="14" t="n">
        <x:v>5</x:v>
      </x:c>
      <x:c r="D6" t="str">
        <x:v>Initial ownership</x:v>
      </x:c>
      <x:c r="E6" s="30" t="n">
        <x:f>B6/E5</x:f>
        <x:v>0.125</x:v>
      </x:c>
    </x:row>
    <x:row r="7">
      <x:c r="A7" t="str">
        <x:v>Illustrative follow-on company raise, USD m</x:v>
      </x:c>
      <x:c r="B7" s="14" t="n">
        <x:v>15</x:v>
      </x:c>
      <x:c r="D7" t="str">
        <x:v>Follow-on investor check ($m)</x:v>
      </x:c>
      <x:c r="E7" t="n">
        <x:f>E6*B7*B13</x:f>
        <x:v>1.875</x:v>
      </x:c>
    </x:row>
    <x:row r="8">
      <x:c r="A8" t="str">
        <x:v>Follow-on pre-money, USD m</x:v>
      </x:c>
      <x:c r="B8" s="14" t="n">
        <x:v>80</x:v>
      </x:c>
      <x:c r="D8" t="str">
        <x:v>Post-follow-on ownership</x:v>
      </x:c>
      <x:c r="E8" s="30" t="n">
        <x:f>E6*B8/(B8+B7)+E7/(B8+B7)</x:f>
        <x:v>0.125</x:v>
      </x:c>
    </x:row>
    <x:row r="9">
      <x:c r="A9" t="str">
        <x:v>Follow-on financing year</x:v>
      </x:c>
      <x:c r="B9" s="14" t="n">
        <x:v>2029</x:v>
      </x:c>
      <x:c r="D9" t="str">
        <x:v>Investor total capital ($m)</x:v>
      </x:c>
      <x:c r="E9" t="n">
        <x:f>SUM(B6,E7)</x:f>
        <x:v>6.875</x:v>
      </x:c>
    </x:row>
    <x:row r="10">
      <x:c r="A10" t="str">
        <x:v>Exit year</x:v>
      </x:c>
      <x:c r="B10" s="14" t="n">
        <x:v>2033</x:v>
      </x:c>
    </x:row>
    <x:row r="11">
      <x:c r="A11" t="str">
        <x:v>Initial investment year</x:v>
      </x:c>
      <x:c r="B11" s="14" t="n">
        <x:v>2026</x:v>
      </x:c>
    </x:row>
    <x:row r="12">
      <x:c r="A12" t="str">
        <x:v>Gross IRR hurdle</x:v>
      </x:c>
      <x:c r="B12" s="18" t="n">
        <x:v>0.25</x:v>
      </x:c>
    </x:row>
    <x:row r="13">
      <x:c r="A13" t="str">
        <x:v>Participation fraction of pro-rata</x:v>
      </x:c>
      <x:c r="B13" s="18" t="n">
        <x:v>1</x:v>
      </x:c>
    </x:row>
    <x:row r="15" ht="23" customHeight="1">
      <x:c r="A15" s="7" t="str">
        <x:v>MODEL RESULTS: ANNUAL REVENUE MULTIPLE, COMMON-EQUIVALENT EXIT PROCEEDS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</x:row>
    <x:row r="16" ht="44" customHeight="1">
      <x:c r="A16" s="62" t="str">
        <x:v>Scenario</x:v>
      </x:c>
      <x:c r="B16" s="62" t="str">
        <x:v>2033 revenue</x:v>
      </x:c>
      <x:c r="C16" s="62" t="str">
        <x:v>Exit multiple</x:v>
      </x:c>
      <x:c r="D16" s="62" t="str">
        <x:v>Exit EV</x:v>
      </x:c>
      <x:c r="E16" s="62" t="str">
        <x:v>Sale costs</x:v>
      </x:c>
      <x:c r="F16" s="62" t="str">
        <x:v>Equity proxy</x:v>
      </x:c>
      <x:c r="G16" s="62" t="str">
        <x:v>Ownership</x:v>
      </x:c>
      <x:c r="H16" s="62" t="str">
        <x:v>Proceeds</x:v>
      </x:c>
      <x:c r="I16" s="62" t="str">
        <x:v>Total check</x:v>
      </x:c>
      <x:c r="J16" s="62" t="str">
        <x:v>MOIC</x:v>
      </x:c>
      <x:c r="K16" s="62" t="str">
        <x:v>Gross IRR</x:v>
      </x:c>
      <x:c r="L16" s="62" t="str">
        <x:v>Max entry pre-money at hurdle</x:v>
      </x:c>
      <x:c r="M16" s="62" t="str">
        <x:v>Exit outcome</x:v>
      </x:c>
    </x:row>
    <x:row r="17">
      <x:c r="A17" t="str">
        <x:v>Bear</x:v>
      </x:c>
      <x:c r="B17" s="28" t="n">
        <x:f>Bear!I21</x:f>
        <x:v>2.0147955353735925</x:v>
      </x:c>
      <x:c r="C17" s="60" t="n">
        <x:f>Assumptions!B29</x:f>
        <x:v>2.5</x:v>
      </x:c>
      <x:c r="D17" s="28" t="n">
        <x:f>B17*C17</x:f>
        <x:v>5.036988838433981</x:v>
      </x:c>
      <x:c r="E17" s="28" t="n">
        <x:f>D17*Assumptions!B33</x:f>
        <x:v>0.15110966515301943</x:v>
      </x:c>
      <x:c r="F17" s="28" t="n">
        <x:f>D17-E17</x:f>
        <x:v>4.885879173280961</x:v>
      </x:c>
      <x:c r="G17" s="30" t="n">
        <x:f>$E$8</x:f>
        <x:v>0.125</x:v>
      </x:c>
      <x:c r="H17" s="28" t="n">
        <x:f>F17*G17</x:f>
        <x:v>0.6107348966601202</x:v>
      </x:c>
      <x:c r="I17" s="28" t="n">
        <x:f>$E$9</x:f>
        <x:v>6.875</x:v>
      </x:c>
      <x:c r="J17" s="60" t="n">
        <x:f>IFERROR(H17/I17,0)</x:f>
        <x:v>0.08883416678692657</x:v>
      </x:c>
      <x:c r="K17" s="30" t="n">
        <x:f>IRR('Cash Flows'!C7:J7)</x:f>
        <x:v>-0.34357049568762266</x:v>
      </x:c>
      <x:c r="L17" s="28" t="n">
        <x:f>MAX(0,(F17*(($B$8+$B$13*$B$7)/($B$8+$B$7))-$B$13*$B$7*(1+$B$12)^($B$10-$B$9))/(1+$B$12)^($B$10-$B$11)-$B$6)</x:f>
        <x:v>0</x:v>
      </x:c>
      <x:c r="M17" t="str">
        <x:f>IF(K17&lt;$B$12,"Below hurdle","Above hurdle")</x:f>
        <x:v>Below hurdle</x:v>
      </x:c>
    </x:row>
    <x:row r="18">
      <x:c r="A18" t="str">
        <x:v>Base</x:v>
      </x:c>
      <x:c r="B18" s="28" t="n">
        <x:f>Base!I21</x:f>
        <x:v>31.481251633509146</x:v>
      </x:c>
      <x:c r="C18" s="60" t="n">
        <x:f>Assumptions!C29</x:f>
        <x:v>5</x:v>
      </x:c>
      <x:c r="D18" s="28" t="n">
        <x:f>B18*C18</x:f>
        <x:v>157.40625816754573</x:v>
      </x:c>
      <x:c r="E18" s="28" t="n">
        <x:f>D18*Assumptions!C33</x:f>
        <x:v>4.722187745026372</x:v>
      </x:c>
      <x:c r="F18" s="28" t="n">
        <x:f>D18-E18</x:f>
        <x:v>152.68407042251937</x:v>
      </x:c>
      <x:c r="G18" s="30" t="n">
        <x:f>$E$8</x:f>
        <x:v>0.125</x:v>
      </x:c>
      <x:c r="H18" s="28" t="n">
        <x:f>F18*G18</x:f>
        <x:v>19.08550880281492</x:v>
      </x:c>
      <x:c r="I18" s="28" t="n">
        <x:f>$E$9</x:f>
        <x:v>6.875</x:v>
      </x:c>
      <x:c r="J18" s="60" t="n">
        <x:f>IFERROR(H18/I18,0)</x:f>
        <x:v>2.7760740076821704</x:v>
      </x:c>
      <x:c r="K18" s="30" t="n">
        <x:f>IRR('Cash Flows'!C8:J8)</x:f>
        <x:v>0.17548481801467397</x:v>
      </x:c>
      <x:c r="L18" s="28" t="n">
        <x:f>MAX(0,(F18*(($B$8+$B$13*$B$7)/($B$8+$B$7))-$B$13*$B$7*(1+$B$12)^($B$10-$B$9))/(1+$B$12)^($B$10-$B$11)-$B$6)</x:f>
        <x:v>19.340170365472733</x:v>
      </x:c>
      <x:c r="M18" t="str">
        <x:f>IF(K18&lt;$B$12,"Below hurdle","Above hurdle")</x:f>
        <x:v>Below hurdle</x:v>
      </x:c>
    </x:row>
    <x:row r="19">
      <x:c r="A19" t="str">
        <x:v>Bull</x:v>
      </x:c>
      <x:c r="B19" s="28" t="n">
        <x:f>Bull!I21</x:f>
        <x:v>109.79722849060154</x:v>
      </x:c>
      <x:c r="C19" s="60" t="n">
        <x:f>Assumptions!D29</x:f>
        <x:v>7</x:v>
      </x:c>
      <x:c r="D19" s="28" t="n">
        <x:f>B19*C19</x:f>
        <x:v>768.5805994342107</x:v>
      </x:c>
      <x:c r="E19" s="28" t="n">
        <x:f>D19*Assumptions!D33</x:f>
        <x:v>23.057417983026323</x:v>
      </x:c>
      <x:c r="F19" s="28" t="n">
        <x:f>D19-E19</x:f>
        <x:v>745.5231814511844</x:v>
      </x:c>
      <x:c r="G19" s="30" t="n">
        <x:f>$E$8</x:f>
        <x:v>0.125</x:v>
      </x:c>
      <x:c r="H19" s="28" t="n">
        <x:f>F19*G19</x:f>
        <x:v>93.19039768139805</x:v>
      </x:c>
      <x:c r="I19" s="28" t="n">
        <x:f>$E$9</x:f>
        <x:v>6.875</x:v>
      </x:c>
      <x:c r="J19" s="60" t="n">
        <x:f>IFERROR(H19/I19,0)</x:f>
        <x:v>13.554966935476081</x:v>
      </x:c>
      <x:c r="K19" s="30" t="n">
        <x:f>IRR('Cash Flows'!C9:J9)</x:f>
        <x:v>0.4958834434641027</x:v>
      </x:c>
      <x:c r="L19" s="28" t="n">
        <x:f>MAX(0,(F19*(($B$8+$B$13*$B$7)/($B$8+$B$7))-$B$13*$B$7*(1+$B$12)^($B$10-$B$9))/(1+$B$12)^($B$10-$B$11)-$B$6)</x:f>
        <x:v>143.66754310267143</x:v>
      </x:c>
      <x:c r="M19" t="str">
        <x:f>IF(K19&lt;$B$12,"Below hurdle","Above hurdle")</x:f>
        <x:v>Above hurdle</x:v>
      </x:c>
    </x:row>
    <x:row r="22" ht="23" customHeight="1">
      <x:c r="A22" s="7" t="str">
        <x:v>CAVEATS AND SECURITY STRUCTURE NOT MODELED</x:v>
      </x:c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</x:row>
    <x:row r="24" ht="26" customHeight="1">
      <x:c r="A24" t="str">
        <x:v>No actual Choice financing process, pricing, cap table or equity rights verified.</x:v>
      </x:c>
    </x:row>
    <x:row r="25" ht="26" customHeight="1">
      <x:c r="A25" t="str">
        <x:v>EV approximated as equity value; actual net debt, cash, warrants, preferences and employee option-pool refresh unknown.</x:v>
      </x:c>
    </x:row>
    <x:row r="26" ht="26" customHeight="1">
      <x:c r="A26" t="str">
        <x:v>Model assumes full pro-rata in hypothetical 2029 raise, no other dilutive rounds, no dividends, no exit tax, no carry or management fees.</x:v>
      </x:c>
    </x:row>
    <x:row r="27" ht="26" customHeight="1">
      <x:c r="A27" t="str">
        <x:v>Max entry solve is conditional on the modeled company outcome and transaction terms; it is not a market valuation.</x:v>
      </x:c>
    </x:row>
  </x:sheetData>
  <x:mergeCells>
    <x:mergeCell ref="A1:M2"/>
    <x:mergeCell ref="A4:M4"/>
    <x:mergeCell ref="A15:M15"/>
    <x:mergeCell ref="A22:M22"/>
    <x:mergeCell ref="A24:M24"/>
    <x:mergeCell ref="A25:M25"/>
    <x:mergeCell ref="A26:M26"/>
    <x:mergeCell ref="A27:M27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3" t="str">
        <x:v>INVESTOR CASH FLOWS | ANNUAL IRR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5">
      <x:c r="A5" s="25" t="str">
        <x:v>Scenario</x:v>
      </x:c>
      <x:c r="B5" s="25" t="str">
        <x:v>Units</x:v>
      </x:c>
      <x:c r="C5" s="25" t="n">
        <x:v>2026</x:v>
      </x:c>
      <x:c r="D5" s="25" t="n">
        <x:v>2027</x:v>
      </x:c>
      <x:c r="E5" s="25" t="n">
        <x:v>2028</x:v>
      </x:c>
      <x:c r="F5" s="25" t="n">
        <x:v>2029</x:v>
      </x:c>
      <x:c r="G5" s="25" t="n">
        <x:v>2030</x:v>
      </x:c>
      <x:c r="H5" s="25" t="n">
        <x:v>2031</x:v>
      </x:c>
      <x:c r="I5" s="25" t="n">
        <x:v>2032</x:v>
      </x:c>
      <x:c r="J5" s="25" t="n">
        <x:v>2033</x:v>
      </x:c>
    </x:row>
    <x:row r="7">
      <x:c r="A7" t="str">
        <x:v>Bear</x:v>
      </x:c>
      <x:c r="B7" t="str">
        <x:v>USD m</x:v>
      </x:c>
      <x:c r="C7" s="28" t="n">
        <x:f>IF(C$5=Transaction!$B$11,-Transaction!$B$6,IF(C$5=Transaction!$B$9,-Transaction!$E$7,IF(C$5=Transaction!$B$10,Transaction!H17,0)))</x:f>
        <x:v>-5</x:v>
      </x:c>
      <x:c r="D7" s="28" t="n">
        <x:f>IF(D$5=Transaction!$B$11,-Transaction!$B$6,IF(D$5=Transaction!$B$9,-Transaction!$E$7,IF(D$5=Transaction!$B$10,Transaction!H17,0)))</x:f>
        <x:v>0</x:v>
      </x:c>
      <x:c r="E7" s="28" t="n">
        <x:f>IF(E$5=Transaction!$B$11,-Transaction!$B$6,IF(E$5=Transaction!$B$9,-Transaction!$E$7,IF(E$5=Transaction!$B$10,Transaction!H17,0)))</x:f>
        <x:v>0</x:v>
      </x:c>
      <x:c r="F7" s="28" t="n">
        <x:f>IF(F$5=Transaction!$B$11,-Transaction!$B$6,IF(F$5=Transaction!$B$9,-Transaction!$E$7,IF(F$5=Transaction!$B$10,Transaction!H17,0)))</x:f>
        <x:v>-1.875</x:v>
      </x:c>
      <x:c r="G7" s="28" t="n">
        <x:f>IF(G$5=Transaction!$B$11,-Transaction!$B$6,IF(G$5=Transaction!$B$9,-Transaction!$E$7,IF(G$5=Transaction!$B$10,Transaction!H17,0)))</x:f>
        <x:v>0</x:v>
      </x:c>
      <x:c r="H7" s="28" t="n">
        <x:f>IF(H$5=Transaction!$B$11,-Transaction!$B$6,IF(H$5=Transaction!$B$9,-Transaction!$E$7,IF(H$5=Transaction!$B$10,Transaction!H17,0)))</x:f>
        <x:v>0</x:v>
      </x:c>
      <x:c r="I7" s="28" t="n">
        <x:f>IF(I$5=Transaction!$B$11,-Transaction!$B$6,IF(I$5=Transaction!$B$9,-Transaction!$E$7,IF(I$5=Transaction!$B$10,Transaction!H17,0)))</x:f>
        <x:v>0</x:v>
      </x:c>
      <x:c r="J7" s="28" t="n">
        <x:f>IF(J$5=Transaction!$B$11,-Transaction!$B$6,IF(J$5=Transaction!$B$9,-Transaction!$E$7,IF(J$5=Transaction!$B$10,Transaction!H17,0)))</x:f>
        <x:v>0.6107348966601202</x:v>
      </x:c>
    </x:row>
    <x:row r="8">
      <x:c r="A8" t="str">
        <x:v>Base</x:v>
      </x:c>
      <x:c r="B8" t="str">
        <x:v>USD m</x:v>
      </x:c>
      <x:c r="C8" s="28" t="n">
        <x:f>IF(C$5=Transaction!$B$11,-Transaction!$B$6,IF(C$5=Transaction!$B$9,-Transaction!$E$7,IF(C$5=Transaction!$B$10,Transaction!H18,0)))</x:f>
        <x:v>-5</x:v>
      </x:c>
      <x:c r="D8" s="28" t="n">
        <x:f>IF(D$5=Transaction!$B$11,-Transaction!$B$6,IF(D$5=Transaction!$B$9,-Transaction!$E$7,IF(D$5=Transaction!$B$10,Transaction!H18,0)))</x:f>
        <x:v>0</x:v>
      </x:c>
      <x:c r="E8" s="28" t="n">
        <x:f>IF(E$5=Transaction!$B$11,-Transaction!$B$6,IF(E$5=Transaction!$B$9,-Transaction!$E$7,IF(E$5=Transaction!$B$10,Transaction!H18,0)))</x:f>
        <x:v>0</x:v>
      </x:c>
      <x:c r="F8" s="28" t="n">
        <x:f>IF(F$5=Transaction!$B$11,-Transaction!$B$6,IF(F$5=Transaction!$B$9,-Transaction!$E$7,IF(F$5=Transaction!$B$10,Transaction!H18,0)))</x:f>
        <x:v>-1.875</x:v>
      </x:c>
      <x:c r="G8" s="28" t="n">
        <x:f>IF(G$5=Transaction!$B$11,-Transaction!$B$6,IF(G$5=Transaction!$B$9,-Transaction!$E$7,IF(G$5=Transaction!$B$10,Transaction!H18,0)))</x:f>
        <x:v>0</x:v>
      </x:c>
      <x:c r="H8" s="28" t="n">
        <x:f>IF(H$5=Transaction!$B$11,-Transaction!$B$6,IF(H$5=Transaction!$B$9,-Transaction!$E$7,IF(H$5=Transaction!$B$10,Transaction!H18,0)))</x:f>
        <x:v>0</x:v>
      </x:c>
      <x:c r="I8" s="28" t="n">
        <x:f>IF(I$5=Transaction!$B$11,-Transaction!$B$6,IF(I$5=Transaction!$B$9,-Transaction!$E$7,IF(I$5=Transaction!$B$10,Transaction!H18,0)))</x:f>
        <x:v>0</x:v>
      </x:c>
      <x:c r="J8" s="28" t="n">
        <x:f>IF(J$5=Transaction!$B$11,-Transaction!$B$6,IF(J$5=Transaction!$B$9,-Transaction!$E$7,IF(J$5=Transaction!$B$10,Transaction!H18,0)))</x:f>
        <x:v>19.08550880281492</x:v>
      </x:c>
    </x:row>
    <x:row r="9">
      <x:c r="A9" t="str">
        <x:v>Bull</x:v>
      </x:c>
      <x:c r="B9" t="str">
        <x:v>USD m</x:v>
      </x:c>
      <x:c r="C9" s="28" t="n">
        <x:f>IF(C$5=Transaction!$B$11,-Transaction!$B$6,IF(C$5=Transaction!$B$9,-Transaction!$E$7,IF(C$5=Transaction!$B$10,Transaction!H19,0)))</x:f>
        <x:v>-5</x:v>
      </x:c>
      <x:c r="D9" s="28" t="n">
        <x:f>IF(D$5=Transaction!$B$11,-Transaction!$B$6,IF(D$5=Transaction!$B$9,-Transaction!$E$7,IF(D$5=Transaction!$B$10,Transaction!H19,0)))</x:f>
        <x:v>0</x:v>
      </x:c>
      <x:c r="E9" s="28" t="n">
        <x:f>IF(E$5=Transaction!$B$11,-Transaction!$B$6,IF(E$5=Transaction!$B$9,-Transaction!$E$7,IF(E$5=Transaction!$B$10,Transaction!H19,0)))</x:f>
        <x:v>0</x:v>
      </x:c>
      <x:c r="F9" s="28" t="n">
        <x:f>IF(F$5=Transaction!$B$11,-Transaction!$B$6,IF(F$5=Transaction!$B$9,-Transaction!$E$7,IF(F$5=Transaction!$B$10,Transaction!H19,0)))</x:f>
        <x:v>-1.875</x:v>
      </x:c>
      <x:c r="G9" s="28" t="n">
        <x:f>IF(G$5=Transaction!$B$11,-Transaction!$B$6,IF(G$5=Transaction!$B$9,-Transaction!$E$7,IF(G$5=Transaction!$B$10,Transaction!H19,0)))</x:f>
        <x:v>0</x:v>
      </x:c>
      <x:c r="H9" s="28" t="n">
        <x:f>IF(H$5=Transaction!$B$11,-Transaction!$B$6,IF(H$5=Transaction!$B$9,-Transaction!$E$7,IF(H$5=Transaction!$B$10,Transaction!H19,0)))</x:f>
        <x:v>0</x:v>
      </x:c>
      <x:c r="I9" s="28" t="n">
        <x:f>IF(I$5=Transaction!$B$11,-Transaction!$B$6,IF(I$5=Transaction!$B$9,-Transaction!$E$7,IF(I$5=Transaction!$B$10,Transaction!H19,0)))</x:f>
        <x:v>0</x:v>
      </x:c>
      <x:c r="J9" s="28" t="n">
        <x:f>IF(J$5=Transaction!$B$11,-Transaction!$B$6,IF(J$5=Transaction!$B$9,-Transaction!$E$7,IF(J$5=Transaction!$B$10,Transaction!H19,0)))</x:f>
        <x:v>93.19039768139805</x:v>
      </x:c>
    </x:row>
  </x:sheetData>
  <x:mergeCells>
    <x:mergeCell ref="A1:J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6" hidden="0" customWidth="1"/>
    <x:col min="10" max="10" width="16" hidden="0" customWidth="1"/>
  </x:cols>
  <x:sheetData>
    <x:row r="1" ht="24" customHeight="1">
      <x:c r="A1" s="3" t="str">
        <x:v>BASE CASE | ENTRY VALUATION / EXIT MULTIPLE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4">
      <x:c r="A4" t="str">
        <x:v>Investor gross MOIC after illustrative full pro-rata follow-on; columns are exit revenue multiple, rows entry pre-money ($m).</x:v>
      </x:c>
    </x:row>
    <x:row r="6">
      <x:c r="A6" s="25" t="str">
        <x:v>Entry pre-money ($m)</x:v>
      </x:c>
      <x:c r="B6" s="25" t="n">
        <x:v>2</x:v>
      </x:c>
      <x:c r="C6" s="25" t="n">
        <x:v>3</x:v>
      </x:c>
      <x:c r="D6" s="25" t="n">
        <x:v>4</x:v>
      </x:c>
      <x:c r="E6" s="25" t="n">
        <x:v>5</x:v>
      </x:c>
      <x:c r="F6" s="25" t="n">
        <x:v>6</x:v>
      </x:c>
      <x:c r="G6" s="25" t="n">
        <x:v>7</x:v>
      </x:c>
      <x:c r="H6" s="25" t="n">
        <x:v>8</x:v>
      </x:c>
    </x:row>
    <x:row r="7">
      <x:c r="A7" s="14" t="n">
        <x:v>15</x:v>
      </x:c>
      <x:c r="B7" s="60" t="n">
        <x:f>IFERROR((Base!$I$21*B$6*(1-Assumptions!$C$33)*(Transaction!$B$6/($A7+Transaction!$B$6))*(Transaction!$B$8+Transaction!$B$7*Transaction!$B$13)/(Transaction!$B$8+Transaction!$B$7))/(Transaction!$B$6+(Transaction!$B$6/($A7+Transaction!$B$6))*Transaction!$B$7*Transaction!$B$13),0)</x:f>
        <x:v>1.7449608048287923</x:v>
      </x:c>
      <x:c r="C7" s="60" t="n">
        <x:f>IFERROR((Base!$I$21*C$6*(1-Assumptions!$C$33)*(Transaction!$B$6/($A7+Transaction!$B$6))*(Transaction!$B$8+Transaction!$B$7*Transaction!$B$13)/(Transaction!$B$8+Transaction!$B$7))/(Transaction!$B$6+(Transaction!$B$6/($A7+Transaction!$B$6))*Transaction!$B$7*Transaction!$B$13),0)</x:f>
        <x:v>2.6174412072431887</x:v>
      </x:c>
      <x:c r="D7" s="60" t="n">
        <x:f>IFERROR((Base!$I$21*D$6*(1-Assumptions!$C$33)*(Transaction!$B$6/($A7+Transaction!$B$6))*(Transaction!$B$8+Transaction!$B$7*Transaction!$B$13)/(Transaction!$B$8+Transaction!$B$7))/(Transaction!$B$6+(Transaction!$B$6/($A7+Transaction!$B$6))*Transaction!$B$7*Transaction!$B$13),0)</x:f>
        <x:v>3.4899216096575847</x:v>
      </x:c>
      <x:c r="E7" s="60" t="n">
        <x:f>IFERROR((Base!$I$21*E$6*(1-Assumptions!$C$33)*(Transaction!$B$6/($A7+Transaction!$B$6))*(Transaction!$B$8+Transaction!$B$7*Transaction!$B$13)/(Transaction!$B$8+Transaction!$B$7))/(Transaction!$B$6+(Transaction!$B$6/($A7+Transaction!$B$6))*Transaction!$B$7*Transaction!$B$13),0)</x:f>
        <x:v>4.362402012071981</x:v>
      </x:c>
      <x:c r="F7" s="60" t="n">
        <x:f>IFERROR((Base!$I$21*F$6*(1-Assumptions!$C$33)*(Transaction!$B$6/($A7+Transaction!$B$6))*(Transaction!$B$8+Transaction!$B$7*Transaction!$B$13)/(Transaction!$B$8+Transaction!$B$7))/(Transaction!$B$6+(Transaction!$B$6/($A7+Transaction!$B$6))*Transaction!$B$7*Transaction!$B$13),0)</x:f>
        <x:v>5.2348824144863775</x:v>
      </x:c>
      <x:c r="G7" s="60" t="n">
        <x:f>IFERROR((Base!$I$21*G$6*(1-Assumptions!$C$33)*(Transaction!$B$6/($A7+Transaction!$B$6))*(Transaction!$B$8+Transaction!$B$7*Transaction!$B$13)/(Transaction!$B$8+Transaction!$B$7))/(Transaction!$B$6+(Transaction!$B$6/($A7+Transaction!$B$6))*Transaction!$B$7*Transaction!$B$13),0)</x:f>
        <x:v>6.107362816900774</x:v>
      </x:c>
      <x:c r="H7" s="60" t="n">
        <x:f>IFERROR((Base!$I$21*H$6*(1-Assumptions!$C$33)*(Transaction!$B$6/($A7+Transaction!$B$6))*(Transaction!$B$8+Transaction!$B$7*Transaction!$B$13)/(Transaction!$B$8+Transaction!$B$7))/(Transaction!$B$6+(Transaction!$B$6/($A7+Transaction!$B$6))*Transaction!$B$7*Transaction!$B$13),0)</x:f>
        <x:v>6.979843219315169</x:v>
      </x:c>
    </x:row>
    <x:row r="8">
      <x:c r="A8" s="14" t="n">
        <x:v>25</x:v>
      </x:c>
      <x:c r="B8" s="60" t="n">
        <x:f>IFERROR((Base!$I$21*B$6*(1-Assumptions!$C$33)*(Transaction!$B$6/($A8+Transaction!$B$6))*(Transaction!$B$8+Transaction!$B$7*Transaction!$B$13)/(Transaction!$B$8+Transaction!$B$7))/(Transaction!$B$6+(Transaction!$B$6/($A8+Transaction!$B$6))*Transaction!$B$7*Transaction!$B$13),0)</x:f>
        <x:v>1.3571917370890607</x:v>
      </x:c>
      <x:c r="C8" s="60" t="n">
        <x:f>IFERROR((Base!$I$21*C$6*(1-Assumptions!$C$33)*(Transaction!$B$6/($A8+Transaction!$B$6))*(Transaction!$B$8+Transaction!$B$7*Transaction!$B$13)/(Transaction!$B$8+Transaction!$B$7))/(Transaction!$B$6+(Transaction!$B$6/($A8+Transaction!$B$6))*Transaction!$B$7*Transaction!$B$13),0)</x:f>
        <x:v>2.0357876056335913</x:v>
      </x:c>
      <x:c r="D8" s="60" t="n">
        <x:f>IFERROR((Base!$I$21*D$6*(1-Assumptions!$C$33)*(Transaction!$B$6/($A8+Transaction!$B$6))*(Transaction!$B$8+Transaction!$B$7*Transaction!$B$13)/(Transaction!$B$8+Transaction!$B$7))/(Transaction!$B$6+(Transaction!$B$6/($A8+Transaction!$B$6))*Transaction!$B$7*Transaction!$B$13),0)</x:f>
        <x:v>2.7143834741781214</x:v>
      </x:c>
      <x:c r="E8" s="60" t="n">
        <x:f>IFERROR((Base!$I$21*E$6*(1-Assumptions!$C$33)*(Transaction!$B$6/($A8+Transaction!$B$6))*(Transaction!$B$8+Transaction!$B$7*Transaction!$B$13)/(Transaction!$B$8+Transaction!$B$7))/(Transaction!$B$6+(Transaction!$B$6/($A8+Transaction!$B$6))*Transaction!$B$7*Transaction!$B$13),0)</x:f>
        <x:v>3.392979342722652</x:v>
      </x:c>
      <x:c r="F8" s="60" t="n">
        <x:f>IFERROR((Base!$I$21*F$6*(1-Assumptions!$C$33)*(Transaction!$B$6/($A8+Transaction!$B$6))*(Transaction!$B$8+Transaction!$B$7*Transaction!$B$13)/(Transaction!$B$8+Transaction!$B$7))/(Transaction!$B$6+(Transaction!$B$6/($A8+Transaction!$B$6))*Transaction!$B$7*Transaction!$B$13),0)</x:f>
        <x:v>4.071575211267183</x:v>
      </x:c>
      <x:c r="G8" s="60" t="n">
        <x:f>IFERROR((Base!$I$21*G$6*(1-Assumptions!$C$33)*(Transaction!$B$6/($A8+Transaction!$B$6))*(Transaction!$B$8+Transaction!$B$7*Transaction!$B$13)/(Transaction!$B$8+Transaction!$B$7))/(Transaction!$B$6+(Transaction!$B$6/($A8+Transaction!$B$6))*Transaction!$B$7*Transaction!$B$13),0)</x:f>
        <x:v>4.750171079811713</x:v>
      </x:c>
      <x:c r="H8" s="60" t="n">
        <x:f>IFERROR((Base!$I$21*H$6*(1-Assumptions!$C$33)*(Transaction!$B$6/($A8+Transaction!$B$6))*(Transaction!$B$8+Transaction!$B$7*Transaction!$B$13)/(Transaction!$B$8+Transaction!$B$7))/(Transaction!$B$6+(Transaction!$B$6/($A8+Transaction!$B$6))*Transaction!$B$7*Transaction!$B$13),0)</x:f>
        <x:v>5.428766948356243</x:v>
      </x:c>
    </x:row>
    <x:row r="9">
      <x:c r="A9" s="14" t="n">
        <x:v>35</x:v>
      </x:c>
      <x:c r="B9" s="60" t="n">
        <x:f>IFERROR((Base!$I$21*B$6*(1-Assumptions!$C$33)*(Transaction!$B$6/($A9+Transaction!$B$6))*(Transaction!$B$8+Transaction!$B$7*Transaction!$B$13)/(Transaction!$B$8+Transaction!$B$7))/(Transaction!$B$6+(Transaction!$B$6/($A9+Transaction!$B$6))*Transaction!$B$7*Transaction!$B$13),0)</x:f>
        <x:v>1.110429603072868</x:v>
      </x:c>
      <x:c r="C9" s="60" t="n">
        <x:f>IFERROR((Base!$I$21*C$6*(1-Assumptions!$C$33)*(Transaction!$B$6/($A9+Transaction!$B$6))*(Transaction!$B$8+Transaction!$B$7*Transaction!$B$13)/(Transaction!$B$8+Transaction!$B$7))/(Transaction!$B$6+(Transaction!$B$6/($A9+Transaction!$B$6))*Transaction!$B$7*Transaction!$B$13),0)</x:f>
        <x:v>1.665644404609302</x:v>
      </x:c>
      <x:c r="D9" s="60" t="n">
        <x:f>IFERROR((Base!$I$21*D$6*(1-Assumptions!$C$33)*(Transaction!$B$6/($A9+Transaction!$B$6))*(Transaction!$B$8+Transaction!$B$7*Transaction!$B$13)/(Transaction!$B$8+Transaction!$B$7))/(Transaction!$B$6+(Transaction!$B$6/($A9+Transaction!$B$6))*Transaction!$B$7*Transaction!$B$13),0)</x:f>
        <x:v>2.220859206145736</x:v>
      </x:c>
      <x:c r="E9" s="60" t="n">
        <x:f>IFERROR((Base!$I$21*E$6*(1-Assumptions!$C$33)*(Transaction!$B$6/($A9+Transaction!$B$6))*(Transaction!$B$8+Transaction!$B$7*Transaction!$B$13)/(Transaction!$B$8+Transaction!$B$7))/(Transaction!$B$6+(Transaction!$B$6/($A9+Transaction!$B$6))*Transaction!$B$7*Transaction!$B$13),0)</x:f>
        <x:v>2.77607400768217</x:v>
      </x:c>
      <x:c r="F9" s="60" t="n">
        <x:f>IFERROR((Base!$I$21*F$6*(1-Assumptions!$C$33)*(Transaction!$B$6/($A9+Transaction!$B$6))*(Transaction!$B$8+Transaction!$B$7*Transaction!$B$13)/(Transaction!$B$8+Transaction!$B$7))/(Transaction!$B$6+(Transaction!$B$6/($A9+Transaction!$B$6))*Transaction!$B$7*Transaction!$B$13),0)</x:f>
        <x:v>3.331288809218604</x:v>
      </x:c>
      <x:c r="G9" s="60" t="n">
        <x:f>IFERROR((Base!$I$21*G$6*(1-Assumptions!$C$33)*(Transaction!$B$6/($A9+Transaction!$B$6))*(Transaction!$B$8+Transaction!$B$7*Transaction!$B$13)/(Transaction!$B$8+Transaction!$B$7))/(Transaction!$B$6+(Transaction!$B$6/($A9+Transaction!$B$6))*Transaction!$B$7*Transaction!$B$13),0)</x:f>
        <x:v>3.886503610755038</x:v>
      </x:c>
      <x:c r="H9" s="60" t="n">
        <x:f>IFERROR((Base!$I$21*H$6*(1-Assumptions!$C$33)*(Transaction!$B$6/($A9+Transaction!$B$6))*(Transaction!$B$8+Transaction!$B$7*Transaction!$B$13)/(Transaction!$B$8+Transaction!$B$7))/(Transaction!$B$6+(Transaction!$B$6/($A9+Transaction!$B$6))*Transaction!$B$7*Transaction!$B$13),0)</x:f>
        <x:v>4.441718412291472</x:v>
      </x:c>
    </x:row>
    <x:row r="10">
      <x:c r="A10" s="14" t="n">
        <x:v>45</x:v>
      </x:c>
      <x:c r="B10" s="60" t="n">
        <x:f>IFERROR((Base!$I$21*B$6*(1-Assumptions!$C$33)*(Transaction!$B$6/($A10+Transaction!$B$6))*(Transaction!$B$8+Transaction!$B$7*Transaction!$B$13)/(Transaction!$B$8+Transaction!$B$7))/(Transaction!$B$6+(Transaction!$B$6/($A10+Transaction!$B$6))*Transaction!$B$7*Transaction!$B$13),0)</x:f>
        <x:v>0.939594279523196</x:v>
      </x:c>
      <x:c r="C10" s="60" t="n">
        <x:f>IFERROR((Base!$I$21*C$6*(1-Assumptions!$C$33)*(Transaction!$B$6/($A10+Transaction!$B$6))*(Transaction!$B$8+Transaction!$B$7*Transaction!$B$13)/(Transaction!$B$8+Transaction!$B$7))/(Transaction!$B$6+(Transaction!$B$6/($A10+Transaction!$B$6))*Transaction!$B$7*Transaction!$B$13),0)</x:f>
        <x:v>1.4093914192847938</x:v>
      </x:c>
      <x:c r="D10" s="60" t="n">
        <x:f>IFERROR((Base!$I$21*D$6*(1-Assumptions!$C$33)*(Transaction!$B$6/($A10+Transaction!$B$6))*(Transaction!$B$8+Transaction!$B$7*Transaction!$B$13)/(Transaction!$B$8+Transaction!$B$7))/(Transaction!$B$6+(Transaction!$B$6/($A10+Transaction!$B$6))*Transaction!$B$7*Transaction!$B$13),0)</x:f>
        <x:v>1.879188559046392</x:v>
      </x:c>
      <x:c r="E10" s="60" t="n">
        <x:f>IFERROR((Base!$I$21*E$6*(1-Assumptions!$C$33)*(Transaction!$B$6/($A10+Transaction!$B$6))*(Transaction!$B$8+Transaction!$B$7*Transaction!$B$13)/(Transaction!$B$8+Transaction!$B$7))/(Transaction!$B$6+(Transaction!$B$6/($A10+Transaction!$B$6))*Transaction!$B$7*Transaction!$B$13),0)</x:f>
        <x:v>2.3489856988079896</x:v>
      </x:c>
      <x:c r="F10" s="60" t="n">
        <x:f>IFERROR((Base!$I$21*F$6*(1-Assumptions!$C$33)*(Transaction!$B$6/($A10+Transaction!$B$6))*(Transaction!$B$8+Transaction!$B$7*Transaction!$B$13)/(Transaction!$B$8+Transaction!$B$7))/(Transaction!$B$6+(Transaction!$B$6/($A10+Transaction!$B$6))*Transaction!$B$7*Transaction!$B$13),0)</x:f>
        <x:v>2.8187828385695877</x:v>
      </x:c>
      <x:c r="G10" s="60" t="n">
        <x:f>IFERROR((Base!$I$21*G$6*(1-Assumptions!$C$33)*(Transaction!$B$6/($A10+Transaction!$B$6))*(Transaction!$B$8+Transaction!$B$7*Transaction!$B$13)/(Transaction!$B$8+Transaction!$B$7))/(Transaction!$B$6+(Transaction!$B$6/($A10+Transaction!$B$6))*Transaction!$B$7*Transaction!$B$13),0)</x:f>
        <x:v>3.288579978331186</x:v>
      </x:c>
      <x:c r="H10" s="60" t="n">
        <x:f>IFERROR((Base!$I$21*H$6*(1-Assumptions!$C$33)*(Transaction!$B$6/($A10+Transaction!$B$6))*(Transaction!$B$8+Transaction!$B$7*Transaction!$B$13)/(Transaction!$B$8+Transaction!$B$7))/(Transaction!$B$6+(Transaction!$B$6/($A10+Transaction!$B$6))*Transaction!$B$7*Transaction!$B$13),0)</x:f>
        <x:v>3.758377118092784</x:v>
      </x:c>
    </x:row>
    <x:row r="11">
      <x:c r="A11" s="14" t="n">
        <x:v>55</x:v>
      </x:c>
      <x:c r="B11" s="60" t="n">
        <x:f>IFERROR((Base!$I$21*B$6*(1-Assumptions!$C$33)*(Transaction!$B$6/($A11+Transaction!$B$6))*(Transaction!$B$8+Transaction!$B$7*Transaction!$B$13)/(Transaction!$B$8+Transaction!$B$7))/(Transaction!$B$6+(Transaction!$B$6/($A11+Transaction!$B$6))*Transaction!$B$7*Transaction!$B$13),0)</x:f>
        <x:v>0.8143150422534364</x:v>
      </x:c>
      <x:c r="C11" s="60" t="n">
        <x:f>IFERROR((Base!$I$21*C$6*(1-Assumptions!$C$33)*(Transaction!$B$6/($A11+Transaction!$B$6))*(Transaction!$B$8+Transaction!$B$7*Transaction!$B$13)/(Transaction!$B$8+Transaction!$B$7))/(Transaction!$B$6+(Transaction!$B$6/($A11+Transaction!$B$6))*Transaction!$B$7*Transaction!$B$13),0)</x:f>
        <x:v>1.2214725633801546</x:v>
      </x:c>
      <x:c r="D11" s="60" t="n">
        <x:f>IFERROR((Base!$I$21*D$6*(1-Assumptions!$C$33)*(Transaction!$B$6/($A11+Transaction!$B$6))*(Transaction!$B$8+Transaction!$B$7*Transaction!$B$13)/(Transaction!$B$8+Transaction!$B$7))/(Transaction!$B$6+(Transaction!$B$6/($A11+Transaction!$B$6))*Transaction!$B$7*Transaction!$B$13),0)</x:f>
        <x:v>1.6286300845068729</x:v>
      </x:c>
      <x:c r="E11" s="60" t="n">
        <x:f>IFERROR((Base!$I$21*E$6*(1-Assumptions!$C$33)*(Transaction!$B$6/($A11+Transaction!$B$6))*(Transaction!$B$8+Transaction!$B$7*Transaction!$B$13)/(Transaction!$B$8+Transaction!$B$7))/(Transaction!$B$6+(Transaction!$B$6/($A11+Transaction!$B$6))*Transaction!$B$7*Transaction!$B$13),0)</x:f>
        <x:v>2.0357876056335913</x:v>
      </x:c>
      <x:c r="F11" s="60" t="n">
        <x:f>IFERROR((Base!$I$21*F$6*(1-Assumptions!$C$33)*(Transaction!$B$6/($A11+Transaction!$B$6))*(Transaction!$B$8+Transaction!$B$7*Transaction!$B$13)/(Transaction!$B$8+Transaction!$B$7))/(Transaction!$B$6+(Transaction!$B$6/($A11+Transaction!$B$6))*Transaction!$B$7*Transaction!$B$13),0)</x:f>
        <x:v>2.4429451267603093</x:v>
      </x:c>
      <x:c r="G11" s="60" t="n">
        <x:f>IFERROR((Base!$I$21*G$6*(1-Assumptions!$C$33)*(Transaction!$B$6/($A11+Transaction!$B$6))*(Transaction!$B$8+Transaction!$B$7*Transaction!$B$13)/(Transaction!$B$8+Transaction!$B$7))/(Transaction!$B$6+(Transaction!$B$6/($A11+Transaction!$B$6))*Transaction!$B$7*Transaction!$B$13),0)</x:f>
        <x:v>2.8501026478870277</x:v>
      </x:c>
      <x:c r="H11" s="60" t="n">
        <x:f>IFERROR((Base!$I$21*H$6*(1-Assumptions!$C$33)*(Transaction!$B$6/($A11+Transaction!$B$6))*(Transaction!$B$8+Transaction!$B$7*Transaction!$B$13)/(Transaction!$B$8+Transaction!$B$7))/(Transaction!$B$6+(Transaction!$B$6/($A11+Transaction!$B$6))*Transaction!$B$7*Transaction!$B$13),0)</x:f>
        <x:v>3.2572601690137457</x:v>
      </x:c>
    </x:row>
    <x:row r="12">
      <x:c r="A12" s="14" t="n">
        <x:v>65</x:v>
      </x:c>
      <x:c r="B12" s="60" t="n">
        <x:f>IFERROR((Base!$I$21*B$6*(1-Assumptions!$C$33)*(Transaction!$B$6/($A12+Transaction!$B$6))*(Transaction!$B$8+Transaction!$B$7*Transaction!$B$13)/(Transaction!$B$8+Transaction!$B$7))/(Transaction!$B$6+(Transaction!$B$6/($A12+Transaction!$B$6))*Transaction!$B$7*Transaction!$B$13),0)</x:f>
        <x:v>0.7185132725765616</x:v>
      </x:c>
      <x:c r="C12" s="60" t="n">
        <x:f>IFERROR((Base!$I$21*C$6*(1-Assumptions!$C$33)*(Transaction!$B$6/($A12+Transaction!$B$6))*(Transaction!$B$8+Transaction!$B$7*Transaction!$B$13)/(Transaction!$B$8+Transaction!$B$7))/(Transaction!$B$6+(Transaction!$B$6/($A12+Transaction!$B$6))*Transaction!$B$7*Transaction!$B$13),0)</x:f>
        <x:v>1.0777699088648423</x:v>
      </x:c>
      <x:c r="D12" s="60" t="n">
        <x:f>IFERROR((Base!$I$21*D$6*(1-Assumptions!$C$33)*(Transaction!$B$6/($A12+Transaction!$B$6))*(Transaction!$B$8+Transaction!$B$7*Transaction!$B$13)/(Transaction!$B$8+Transaction!$B$7))/(Transaction!$B$6+(Transaction!$B$6/($A12+Transaction!$B$6))*Transaction!$B$7*Transaction!$B$13),0)</x:f>
        <x:v>1.4370265451531232</x:v>
      </x:c>
      <x:c r="E12" s="60" t="n">
        <x:f>IFERROR((Base!$I$21*E$6*(1-Assumptions!$C$33)*(Transaction!$B$6/($A12+Transaction!$B$6))*(Transaction!$B$8+Transaction!$B$7*Transaction!$B$13)/(Transaction!$B$8+Transaction!$B$7))/(Transaction!$B$6+(Transaction!$B$6/($A12+Transaction!$B$6))*Transaction!$B$7*Transaction!$B$13),0)</x:f>
        <x:v>1.7962831814414042</x:v>
      </x:c>
      <x:c r="F12" s="60" t="n">
        <x:f>IFERROR((Base!$I$21*F$6*(1-Assumptions!$C$33)*(Transaction!$B$6/($A12+Transaction!$B$6))*(Transaction!$B$8+Transaction!$B$7*Transaction!$B$13)/(Transaction!$B$8+Transaction!$B$7))/(Transaction!$B$6+(Transaction!$B$6/($A12+Transaction!$B$6))*Transaction!$B$7*Transaction!$B$13),0)</x:f>
        <x:v>2.1555398177296845</x:v>
      </x:c>
      <x:c r="G12" s="60" t="n">
        <x:f>IFERROR((Base!$I$21*G$6*(1-Assumptions!$C$33)*(Transaction!$B$6/($A12+Transaction!$B$6))*(Transaction!$B$8+Transaction!$B$7*Transaction!$B$13)/(Transaction!$B$8+Transaction!$B$7))/(Transaction!$B$6+(Transaction!$B$6/($A12+Transaction!$B$6))*Transaction!$B$7*Transaction!$B$13),0)</x:f>
        <x:v>2.5147964540179655</x:v>
      </x:c>
      <x:c r="H12" s="60" t="n">
        <x:f>IFERROR((Base!$I$21*H$6*(1-Assumptions!$C$33)*(Transaction!$B$6/($A12+Transaction!$B$6))*(Transaction!$B$8+Transaction!$B$7*Transaction!$B$13)/(Transaction!$B$8+Transaction!$B$7))/(Transaction!$B$6+(Transaction!$B$6/($A12+Transaction!$B$6))*Transaction!$B$7*Transaction!$B$13),0)</x:f>
        <x:v>2.8740530903062464</x:v>
      </x:c>
    </x:row>
  </x:sheetData>
  <x:mergeCells>
    <x:mergeCell ref="A1:I2"/>
    <x:mergeCell ref="A4:I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5" hidden="0" customWidth="1"/>
    <x:col min="2" max="2" width="20" hidden="0" customWidth="1"/>
    <x:col min="3" max="3" width="20" hidden="0" customWidth="1"/>
    <x:col min="4" max="4" width="20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4" customHeight="1">
      <x:c r="A1" s="3" t="str">
        <x:v>UNIT ECONOMICS | ILLUSTRATIVE, NOT VERIFIED</x:v>
      </x:c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4" ht="23" customHeight="1">
      <x:c r="A4" s="7" t="str">
        <x:v>THESE ARE ANALYST TEST ASSUMPTIONS, NOT COMPANY METRICS</x:v>
      </x:c>
      <x:c r="B4" s="7"/>
      <x:c r="C4" s="7"/>
      <x:c r="D4" s="7"/>
      <x:c r="E4" s="7"/>
      <x:c r="F4" s="7"/>
      <x:c r="G4" s="7"/>
      <x:c r="H4" s="7"/>
    </x:row>
    <x:row r="6">
      <x:c r="A6" s="25" t="str">
        <x:v>Metric</x:v>
      </x:c>
      <x:c r="B6" s="25" t="str">
        <x:v>Bear</x:v>
      </x:c>
      <x:c r="C6" s="25" t="str">
        <x:v>Base</x:v>
      </x:c>
      <x:c r="D6" s="25" t="str">
        <x:v>Bull</x:v>
      </x:c>
    </x:row>
    <x:row r="7">
      <x:c r="A7" t="str">
        <x:v>Monthly subscription ARPA (USD)</x:v>
      </x:c>
      <x:c r="B7" s="64" t="n">
        <x:f>Assumptions!B13</x:f>
        <x:v>25</x:v>
      </x:c>
      <x:c r="C7" s="64" t="n">
        <x:f>Assumptions!C13</x:f>
        <x:v>40</x:v>
      </x:c>
      <x:c r="D7" s="64" t="n">
        <x:f>Assumptions!D13</x:f>
        <x:v>65</x:v>
      </x:c>
    </x:row>
    <x:row r="8">
      <x:c r="A8" t="str">
        <x:v>Recurring gross margin</x:v>
      </x:c>
      <x:c r="B8" s="51" t="n">
        <x:f>Assumptions!B19</x:f>
        <x:v>0.63</x:v>
      </x:c>
      <x:c r="C8" s="51" t="n">
        <x:f>Assumptions!C19</x:f>
        <x:v>0.78</x:v>
      </x:c>
      <x:c r="D8" s="51" t="n">
        <x:f>Assumptions!D19</x:f>
        <x:v>0.84</x:v>
      </x:c>
    </x:row>
    <x:row r="9">
      <x:c r="A9" t="str">
        <x:v>Annual logo churn</x:v>
      </x:c>
      <x:c r="B9" s="51" t="n">
        <x:f>Assumptions!B17</x:f>
        <x:v>0.2</x:v>
      </x:c>
      <x:c r="C9" s="51" t="n">
        <x:f>Assumptions!C17</x:f>
        <x:v>0.12</x:v>
      </x:c>
      <x:c r="D9" s="51" t="n">
        <x:f>Assumptions!D17</x:f>
        <x:v>0.08</x:v>
      </x:c>
    </x:row>
    <x:row r="10">
      <x:c r="A10" t="str">
        <x:v>Illustrative customer acquisition cost (USD)</x:v>
      </x:c>
      <x:c r="B10" s="64" t="n">
        <x:f>Assumptions!B35</x:f>
        <x:v>750</x:v>
      </x:c>
      <x:c r="C10" s="64" t="n">
        <x:f>Assumptions!C35</x:f>
        <x:v>500</x:v>
      </x:c>
      <x:c r="D10" s="64" t="n">
        <x:f>Assumptions!D35</x:f>
        <x:v>350</x:v>
      </x:c>
    </x:row>
    <x:row r="11">
      <x:c r="B11" s="64"/>
      <x:c r="C11" s="64"/>
      <x:c r="D11" s="64"/>
    </x:row>
    <x:row r="12">
      <x:c r="A12" t="str">
        <x:v>Annualized subscription gross profit / customer</x:v>
      </x:c>
      <x:c r="B12" s="64" t="n">
        <x:f>B7*12*B8</x:f>
        <x:v>189</x:v>
      </x:c>
      <x:c r="C12" s="64" t="n">
        <x:f>C7*12*C8</x:f>
        <x:v>374.40000000000003</x:v>
      </x:c>
      <x:c r="D12" s="64" t="n">
        <x:f>D7*12*D8</x:f>
        <x:v>655.1999999999999</x:v>
      </x:c>
    </x:row>
    <x:row r="13">
      <x:c r="A13" t="str">
        <x:v>Simple gross-profit LTV / customer</x:v>
      </x:c>
      <x:c r="B13" s="64" t="n">
        <x:f>IFERROR(B12/B9,0)</x:f>
        <x:v>945</x:v>
      </x:c>
      <x:c r="C13" s="64" t="n">
        <x:f>IFERROR(C12/C9,0)</x:f>
        <x:v>3120.0000000000005</x:v>
      </x:c>
      <x:c r="D13" s="64" t="n">
        <x:f>IFERROR(D12/D9,0)</x:f>
        <x:v>8189.999999999999</x:v>
      </x:c>
    </x:row>
    <x:row r="14">
      <x:c r="A14" t="str">
        <x:v>Gross-profit LTV/CAC</x:v>
      </x:c>
      <x:c r="B14" s="65" t="n">
        <x:f>IFERROR(B13/B10,0)</x:f>
        <x:v>1.26</x:v>
      </x:c>
      <x:c r="C14" s="65" t="n">
        <x:f>IFERROR(C13/C10,0)</x:f>
        <x:v>6.240000000000001</x:v>
      </x:c>
      <x:c r="D14" s="65" t="n">
        <x:f>IFERROR(D13/D10,0)</x:f>
        <x:v>23.4</x:v>
      </x:c>
    </x:row>
    <x:row r="15">
      <x:c r="A15" t="str">
        <x:v>CAC payback, months</x:v>
      </x:c>
      <x:c r="B15" s="64" t="n">
        <x:f>IFERROR(B10/(B7*B8),0)</x:f>
        <x:v>47.61904761904762</x:v>
      </x:c>
      <x:c r="C15" s="64" t="n">
        <x:f>IFERROR(C10/(C7*C8),0)</x:f>
        <x:v>16.025641025641026</x:v>
      </x:c>
      <x:c r="D15" s="64" t="n">
        <x:f>IFERROR(D10/(D7*D8),0)</x:f>
        <x:v>6.41025641025641</x:v>
      </x:c>
    </x:row>
    <x:row r="18">
      <x:c r="A18" s="16" t="str">
        <x:v>Simplified LTV = annual subscription gross profit / assumed annual logo churn; this is NOT a cohort-based, discount-adjusted actual LTV measure. Need actual gross margin, contribution margins, churn and paid CAC before applying Flashpoint's &gt;3x screen.</x:v>
      </x:c>
      <x:c r="B18" s="16"/>
      <x:c r="C18" s="16"/>
      <x:c r="D18" s="16"/>
      <x:c r="E18" s="16"/>
      <x:c r="F18" s="16"/>
      <x:c r="G18" s="16"/>
      <x:c r="H18" s="16"/>
    </x:row>
    <x:row r="19">
      <x:c r="A19" s="16"/>
      <x:c r="B19" s="16"/>
      <x:c r="C19" s="16"/>
      <x:c r="D19" s="16"/>
      <x:c r="E19" s="16"/>
      <x:c r="F19" s="16"/>
      <x:c r="G19" s="16"/>
      <x:c r="H19" s="16"/>
    </x:row>
    <x:row r="20">
      <x:c r="A20" s="16"/>
      <x:c r="B20" s="16"/>
      <x:c r="C20" s="16"/>
      <x:c r="D20" s="16"/>
      <x:c r="E20" s="16"/>
      <x:c r="F20" s="16"/>
      <x:c r="G20" s="16"/>
      <x:c r="H20" s="16"/>
    </x:row>
  </x:sheetData>
  <x:mergeCells>
    <x:mergeCell ref="A1:H2"/>
    <x:mergeCell ref="A4:H4"/>
    <x:mergeCell ref="A18:H20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7" hidden="0" customWidth="1"/>
    <x:col min="3" max="3" width="70" hidden="0" customWidth="1"/>
    <x:col min="4" max="4" width="66" hidden="0" customWidth="1"/>
    <x:col min="5" max="5" width="19" hidden="0" customWidth="1"/>
    <x:col min="6" max="6" width="37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4" customHeight="1">
      <x:c r="A1" s="3" t="str">
        <x:v>CHOICE | REQUESTED PRIVATE DATA AND NO-GO GATES</x:v>
      </x:c>
      <x:c r="B1" s="3"/>
      <x:c r="C1" s="3"/>
      <x:c r="D1" s="3"/>
      <x:c r="E1" s="3"/>
      <x:c r="F1" s="3"/>
      <x:c r="G1" s="3"/>
    </x:row>
    <x:row r="2" ht="24" customHeight="1">
      <x:c r="A2" s="3"/>
      <x:c r="B2" s="3"/>
      <x:c r="C2" s="3"/>
      <x:c r="D2" s="3"/>
      <x:c r="E2" s="3"/>
      <x:c r="F2" s="3"/>
      <x:c r="G2" s="3"/>
    </x:row>
    <x:row r="4">
      <x:c r="A4" s="25" t="str">
        <x:v>Priority</x:v>
      </x:c>
      <x:c r="B4" s="25" t="str">
        <x:v>Workstream</x:v>
      </x:c>
      <x:c r="C4" s="25" t="str">
        <x:v>Required evidence</x:v>
      </x:c>
      <x:c r="D4" s="25" t="str">
        <x:v>Red flag trigger</x:v>
      </x:c>
      <x:c r="E4" s="25" t="str">
        <x:v>Analyst status</x:v>
      </x:c>
      <x:c r="F4" s="25" t="str">
        <x:v>Investment effect</x:v>
      </x:c>
    </x:row>
    <x:row r="5" ht="38" customHeight="1">
      <x:c r="A5" s="10" t="str">
        <x:v>P0</x:v>
      </x:c>
      <x:c r="B5" s="10" t="str">
        <x:v>Revenue recognition</x:v>
      </x:c>
      <x:c r="C5" s="10" t="str">
        <x:v>2025 actual monthly GAAP P&amp;L, 2026 YTD, subscriptions, credits, invoicing</x:v>
      </x:c>
      <x:c r="D5" s="10" t="str">
        <x:v>Merchant GMV or bank acquiring treated as company revenue</x:v>
      </x:c>
      <x:c r="E5" s="10" t="str">
        <x:v>NOT VERIFIED</x:v>
      </x:c>
      <x:c r="F5" s="10" t="str">
        <x:v>No investment recommendation</x:v>
      </x:c>
    </x:row>
    <x:row r="6" ht="38" customHeight="1">
      <x:c r="A6" s="10" t="str">
        <x:v>P0</x:v>
      </x:c>
      <x:c r="B6" s="10" t="str">
        <x:v>Customer bridge</x:v>
      </x:c>
      <x:c r="C6" s="10" t="str">
        <x:v>Site-level 2025-26 paid active monthly cohort bridge, trials, churn, reactivations</x:v>
      </x:c>
      <x:c r="D6" s="10" t="str">
        <x:v>Registered users reported as paying restaurants</x:v>
      </x:c>
      <x:c r="E6" s="10" t="str">
        <x:v>NOT VERIFIED</x:v>
      </x:c>
      <x:c r="F6" s="10" t="str">
        <x:v>No verified ARR</x:v>
      </x:c>
    </x:row>
    <x:row r="7" ht="38" customHeight="1">
      <x:c r="A7" s="10" t="str">
        <x:v>P0</x:v>
      </x:c>
      <x:c r="B7" s="10" t="str">
        <x:v>ARR reconciliation</x:v>
      </x:c>
      <x:c r="C7" s="10" t="str">
        <x:v>MRR from contracts and payment, ARPA by region / plan, deferred revenue</x:v>
      </x:c>
      <x:c r="D7" s="10" t="str">
        <x:v>Model $3m+ screen cannot be reconciled</x:v>
      </x:c>
      <x:c r="E7" s="10" t="str">
        <x:v>NOT VERIFIED</x:v>
      </x:c>
      <x:c r="F7" s="10" t="str">
        <x:v>Fail current eligibility screen</x:v>
      </x:c>
    </x:row>
    <x:row r="8" ht="38" customHeight="1">
      <x:c r="A8" s="10" t="str">
        <x:v>P0</x:v>
      </x:c>
      <x:c r="B8" s="10" t="str">
        <x:v>Retention</x:v>
      </x:c>
      <x:c r="C8" s="10" t="str">
        <x:v>12- and 24-month GRR, NRR, gross churn and cohort by geography</x:v>
      </x:c>
      <x:c r="D8" s="10" t="str">
        <x:v>Structural early churn or high discounted ARPA</x:v>
      </x:c>
      <x:c r="E8" s="10" t="str">
        <x:v>NOT VERIFIED</x:v>
      </x:c>
      <x:c r="F8" s="10" t="str">
        <x:v>Discount valuation</x:v>
      </x:c>
    </x:row>
    <x:row r="9" ht="38" customHeight="1">
      <x:c r="A9" s="10" t="str">
        <x:v>P0</x:v>
      </x:c>
      <x:c r="B9" s="10" t="str">
        <x:v>Payment economics</x:v>
      </x:c>
      <x:c r="C9" s="10" t="str">
        <x:v>Contractual Choice fee income vs bank acquirer, refunds, 2026 take rate</x:v>
      </x:c>
      <x:c r="D9" s="10" t="str">
        <x:v>GMV revenue assumed without company entitlement</x:v>
      </x:c>
      <x:c r="E9" s="10" t="str">
        <x:v>NOT VERIFIED</x:v>
      </x:c>
      <x:c r="F9" s="10" t="str">
        <x:v>Remove transaction optionality</x:v>
      </x:c>
    </x:row>
    <x:row r="10" ht="38" customHeight="1">
      <x:c r="A10" s="10" t="str">
        <x:v>P0</x:v>
      </x:c>
      <x:c r="B10" s="10" t="str">
        <x:v>Financial economics</x:v>
      </x:c>
      <x:c r="C10" s="10" t="str">
        <x:v>Gross margin by product, onboarding cost, cloud cost, CAC by acquisition channel</x:v>
      </x:c>
      <x:c r="D10" s="10" t="str">
        <x:v>LTV/CAC below Flashpoint target after support costs</x:v>
      </x:c>
      <x:c r="E10" s="10" t="str">
        <x:v>NOT VERIFIED</x:v>
      </x:c>
      <x:c r="F10" s="10" t="str">
        <x:v>Pass / reprice</x:v>
      </x:c>
    </x:row>
    <x:row r="11" ht="38" customHeight="1">
      <x:c r="A11" s="10" t="str">
        <x:v>P0</x:v>
      </x:c>
      <x:c r="B11" s="10" t="str">
        <x:v>Legal &amp; compliance</x:v>
      </x:c>
      <x:c r="C11" s="10" t="str">
        <x:v>Independent audit of online review routing and all Google policy workflows</x:v>
      </x:c>
      <x:c r="D11" s="10" t="str">
        <x:v>Evidence of selective positive review solicitation unresolved</x:v>
      </x:c>
      <x:c r="E11" s="10" t="str">
        <x:v>NOT VERIFIED</x:v>
      </x:c>
      <x:c r="F11" s="10" t="str">
        <x:v>Hold</x:v>
      </x:c>
    </x:row>
    <x:row r="12" ht="38" customHeight="1">
      <x:c r="A12" s="10" t="str">
        <x:v>P1</x:v>
      </x:c>
      <x:c r="B12" s="10" t="str">
        <x:v>Competition</x:v>
      </x:c>
      <x:c r="C12" s="10" t="str">
        <x:v>Win/loss interviews vs local POS, Flipdish, Deliverect, marketplace-integrated tools</x:v>
      </x:c>
      <x:c r="D12" s="10" t="str">
        <x:v>Weak differentiation / expensive POS integration</x:v>
      </x:c>
      <x:c r="E12" s="10" t="str">
        <x:v>NOT VERIFIED</x:v>
      </x:c>
      <x:c r="F12" s="10" t="str">
        <x:v>Multiple compression</x:v>
      </x:c>
    </x:row>
    <x:row r="13" ht="38" customHeight="1">
      <x:c r="A13" s="10" t="str">
        <x:v>P1</x:v>
      </x:c>
      <x:c r="B13" s="10" t="str">
        <x:v>Cap table &amp; financing</x:v>
      </x:c>
      <x:c r="C13" s="10" t="str">
        <x:v>Fully diluted cap table, liquidation preferences, options, current round terms</x:v>
      </x:c>
      <x:c r="D13" s="10" t="str">
        <x:v>Less than 5% target ownership possible at price</x:v>
      </x:c>
      <x:c r="E13" s="10" t="str">
        <x:v>NOT VERIFIED</x:v>
      </x:c>
      <x:c r="F13" s="10" t="str">
        <x:v>Reject or restructure</x:v>
      </x:c>
    </x:row>
    <x:row r="14" ht="38" customHeight="1">
      <x:c r="A14" s="10" t="str">
        <x:v>P1</x:v>
      </x:c>
      <x:c r="B14" s="10" t="str">
        <x:v>GTM &amp; expansion</x:v>
      </x:c>
      <x:c r="C14" s="10" t="str">
        <x:v>Country retention, implementation time, partner economics, enterprise chain penetration</x:v>
      </x:c>
      <x:c r="D14" s="10" t="str">
        <x:v>New markets show higher CAC and weaker retention</x:v>
      </x:c>
      <x:c r="E14" s="10" t="str">
        <x:v>NOT VERIFIED</x:v>
      </x:c>
      <x:c r="F14" s="10" t="str">
        <x:v>Slower rollout</x:v>
      </x:c>
    </x:row>
    <x:row r="15" ht="38" customHeight="1">
      <x:c r="A15" s="10" t="str">
        <x:v>P1</x:v>
      </x:c>
      <x:c r="B15" s="10" t="str">
        <x:v>Security / tech</x:v>
      </x:c>
      <x:c r="C15" s="10" t="str">
        <x:v>Architecture, security audit, uptime, AI action authorization, POS integration SLAs</x:v>
      </x:c>
      <x:c r="D15" s="10" t="str">
        <x:v>Uncontrolled AI merchant actions or high service failure</x:v>
      </x:c>
      <x:c r="E15" s="10" t="str">
        <x:v>NOT VERIFIED</x:v>
      </x:c>
      <x:c r="F15" s="10" t="str">
        <x:v>Engineering hold</x:v>
      </x:c>
    </x:row>
    <x:row r="16" ht="38" customHeight="1">
      <x:c r="A16" s="10" t="str">
        <x:v>P1</x:v>
      </x:c>
      <x:c r="B16" s="10" t="str">
        <x:v>Exit paths</x:v>
      </x:c>
      <x:c r="C16" s="10" t="str">
        <x:v>Actual acquirer fit, precedent EV/revenue comps, buyer interviews</x:v>
      </x:c>
      <x:c r="D16" s="10" t="str">
        <x:v>Exit multiple unrealistic for actual revenue quality</x:v>
      </x:c>
      <x:c r="E16" s="10" t="str">
        <x:v>NOT VERIFIED</x:v>
      </x:c>
      <x:c r="F16" s="10" t="str">
        <x:v>Revise return assumption</x:v>
      </x:c>
    </x:row>
  </x:sheetData>
  <x:mergeCells>
    <x:mergeCell ref="A1:G2"/>
  </x:mergeCells>
  <x:pageMargins left="0.7" right="0.7" top="0.75" bottom="0.75" header="0.3" footer="0.3"/>
</x:worksheet>
</file>