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16578ed84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defb4a2f9b6f44da"/>
    <x:sheet xmlns:r="http://schemas.openxmlformats.org/officeDocument/2006/relationships" name="Public Anchors" sheetId="2" r:id="R3eb8b6d27bf14745"/>
    <x:sheet xmlns:r="http://schemas.openxmlformats.org/officeDocument/2006/relationships" name="Assumptions" sheetId="3" r:id="Re629717ee1914d9b"/>
    <x:sheet xmlns:r="http://schemas.openxmlformats.org/officeDocument/2006/relationships" name="Transaction" sheetId="4" r:id="Raac01caba9924010"/>
    <x:sheet xmlns:r="http://schemas.openxmlformats.org/officeDocument/2006/relationships" name="Forecast" sheetId="5" r:id="R00132763d2844310"/>
    <x:sheet xmlns:r="http://schemas.openxmlformats.org/officeDocument/2006/relationships" name="Investor Returns" sheetId="6" r:id="Re1c6e5c7ec494dd1"/>
    <x:sheet xmlns:r="http://schemas.openxmlformats.org/officeDocument/2006/relationships" name="Sensitivity" sheetId="7" r:id="R24c3657d65d14535"/>
    <x:sheet xmlns:r="http://schemas.openxmlformats.org/officeDocument/2006/relationships" name="Diligence Gates" sheetId="8" r:id="R734cb4e8f42048a4"/>
    <x:sheet xmlns:r="http://schemas.openxmlformats.org/officeDocument/2006/relationships" name="Evidence" sheetId="9" r:id="Rdc087acac4bc4b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;[Red](0.0%);-"/>
    <x:numFmt numFmtId="201" formatCode="0.0&quot;x&quot;;[Red](0.0&quot;x&quot;);-"/>
    <x:numFmt numFmtId="202" formatCode="$0.0&quot;m&quot;;[Red]($0.0&quot;m&quot;);-"/>
    <x:numFmt numFmtId="203" formatCode="#,##0;[Red](#,##0);-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sz val="11"/>
      <x:color rgb="FF008000"/>
      <x:name val="Carlito"/>
    </x:font>
    <x:font>
      <x:b/>
      <x:sz val="11"/>
      <x:color rgb="FF008000"/>
      <x:name val="Carlito"/>
    </x:font>
    <x:font>
      <x:b/>
      <x:sz val="11"/>
      <x:color rgb="FF0000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273B"/>
      </x:patternFill>
    </x:fill>
    <x:fill>
      <x:patternFill patternType="solid">
        <x:fgColor rgb="FF076F73"/>
      </x:patternFill>
    </x:fill>
    <x:fill>
      <x:patternFill patternType="solid">
        <x:fgColor rgb="FFFFF1BE"/>
      </x:patternFill>
    </x:fill>
    <x:fill>
      <x:patternFill patternType="solid">
        <x:fgColor rgb="FFE8F2F3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201" fontId="4" fillId="4" borderId="0" xfId="0" applyNumberFormat="1" applyFont="1" applyFill="1" applyBorder="1"/>
    <x:xf numFmtId="201" fontId="4" fillId="4" borderId="1" xfId="0" applyNumberFormat="1" applyFont="1" applyFill="1" applyBorder="1"/>
    <x:xf numFmtId="202" fontId="4" fillId="4" borderId="0" xfId="0" applyNumberFormat="1" applyFont="1" applyFill="1" applyBorder="1"/>
    <x:xf numFmtId="202" fontId="4" fillId="4" borderId="1" xfId="0" applyNumberFormat="1" applyFont="1" applyFill="1" applyBorder="1"/>
    <x:xf numFmtId="203" fontId="4" fillId="4" borderId="0" xfId="0" applyNumberFormat="1" applyFont="1" applyFill="1" applyBorder="1"/>
    <x:xf numFmtId="203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0" fillId="5" borderId="0" xfId="0" applyNumberFormat="1" applyFont="1" applyFill="1" applyBorder="1"/>
    <x:xf numFmtId="202" fontId="6" fillId="5" borderId="0" xfId="0" applyNumberFormat="1" applyFont="1" applyFill="1" applyBorder="1"/>
    <x:xf numFmtId="202" fontId="5" fillId="5" borderId="0" xfId="0" applyNumberFormat="1" applyFont="1" applyFill="1" applyBorder="1"/>
    <x:xf numFmtId="0" fontId="0" fillId="5" borderId="1" xfId="0" applyNumberFormat="1" applyFont="1" applyFill="1" applyBorder="1"/>
    <x:xf numFmtId="202" fontId="6" fillId="5" borderId="1" xfId="0" applyNumberFormat="1" applyFont="1" applyFill="1" applyBorder="1"/>
    <x:xf numFmtId="202" fontId="5" fillId="5" borderId="1" xfId="0" applyNumberFormat="1" applyFont="1" applyFill="1" applyBorder="1"/>
    <x:xf numFmtId="0" fontId="3" fillId="5" borderId="0" xfId="0" applyNumberFormat="1" applyFont="1" applyFill="1" applyBorder="1"/>
    <x:xf numFmtId="202" fontId="7" fillId="5" borderId="0" xfId="0" applyNumberFormat="1" applyFont="1" applyFill="1" applyBorder="1"/>
    <x:xf numFmtId="202" fontId="8" fillId="5" borderId="0" xfId="0" applyNumberFormat="1" applyFont="1" applyFill="1" applyBorder="1"/>
    <x:xf numFmtId="0" fontId="3" fillId="5" borderId="1" xfId="0" applyNumberFormat="1" applyFont="1" applyFill="1" applyBorder="1"/>
    <x:xf numFmtId="202" fontId="7" fillId="5" borderId="1" xfId="0" applyNumberFormat="1" applyFont="1" applyFill="1" applyBorder="1"/>
    <x:xf numFmtId="202" fontId="8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12b168ac146d0" /><Relationship Type="http://schemas.openxmlformats.org/officeDocument/2006/relationships/theme" Target="/xl/theme/theme1.xml" Id="R3419cd4cf9e04561" /><Relationship Type="http://schemas.openxmlformats.org/officeDocument/2006/relationships/sharedStrings" Target="/xl/sharedStrings.xml" Id="Rb484bab064e147cd" /><Relationship Type="http://schemas.openxmlformats.org/officeDocument/2006/relationships/worksheet" Target="/xl/worksheets/sheet1.xml" Id="Rdefb4a2f9b6f44da" /><Relationship Type="http://schemas.openxmlformats.org/officeDocument/2006/relationships/worksheet" Target="/xl/worksheets/sheet2.xml" Id="R3eb8b6d27bf14745" /><Relationship Type="http://schemas.openxmlformats.org/officeDocument/2006/relationships/worksheet" Target="/xl/worksheets/sheet3.xml" Id="Re629717ee1914d9b" /><Relationship Type="http://schemas.openxmlformats.org/officeDocument/2006/relationships/worksheet" Target="/xl/worksheets/sheet4.xml" Id="Raac01caba9924010" /><Relationship Type="http://schemas.openxmlformats.org/officeDocument/2006/relationships/worksheet" Target="/xl/worksheets/sheet5.xml" Id="R00132763d2844310" /><Relationship Type="http://schemas.openxmlformats.org/officeDocument/2006/relationships/worksheet" Target="/xl/worksheets/sheet6.xml" Id="Re1c6e5c7ec494dd1" /><Relationship Type="http://schemas.openxmlformats.org/officeDocument/2006/relationships/worksheet" Target="/xl/worksheets/sheet7.xml" Id="R24c3657d65d14535" /><Relationship Type="http://schemas.openxmlformats.org/officeDocument/2006/relationships/worksheet" Target="/xl/worksheets/sheet8.xml" Id="R734cb4e8f42048a4" /><Relationship Type="http://schemas.openxmlformats.org/officeDocument/2006/relationships/worksheet" Target="/xl/worksheets/sheet9.xml" Id="Rdc087acac4bc4b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78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3" customHeight="1">
      <x:c r="A1" s="3" t="str">
        <x:v>FLASHPOINT | VENTURE GROWTH UNDERWRITING</x:v>
      </x:c>
      <x:c r="B1" s="3"/>
      <x:c r="C1" s="3"/>
      <x:c r="D1" s="3"/>
      <x:c r="E1" s="3"/>
      <x:c r="F1" s="3"/>
      <x:c r="G1" s="3"/>
      <x:c r="H1" s="3"/>
    </x:row>
    <x:row r="2" ht="23" customHeight="1">
      <x:c r="A2" s="3"/>
      <x:c r="B2" s="3"/>
      <x:c r="C2" s="3"/>
      <x:c r="D2" s="3"/>
      <x:c r="E2" s="3"/>
      <x:c r="F2" s="3"/>
      <x:c r="G2" s="3"/>
      <x:c r="H2" s="3"/>
    </x:row>
    <x:row r="3" ht="20" customHeight="1"/>
    <x:row r="4" ht="20" customHeight="1">
      <x:c r="A4" s="8" t="str">
        <x:v>Analysis date</x:v>
      </x:c>
      <x:c r="B4" t="str">
        <x:v>November 1, 2026</x:v>
      </x:c>
    </x:row>
    <x:row r="5" ht="20" customHeight="1">
      <x:c r="A5" s="8" t="str">
        <x:v>Company</x:v>
      </x:c>
      <x:c r="B5" t="str">
        <x:v>Medida AI</x:v>
      </x:c>
    </x:row>
    <x:row r="6" ht="20" customHeight="1">
      <x:c r="A6" s="8" t="str">
        <x:v>Recommendation</x:v>
      </x:c>
      <x:c r="B6" t="str">
        <x:v>WATCH / CONDITIONAL</x:v>
      </x:c>
    </x:row>
    <x:row r="7" ht="20" customHeight="1">
      <x:c r="A7" s="8" t="str">
        <x:v>Purpose</x:v>
      </x:c>
      <x:c r="B7" t="str">
        <x:v>Illustrative, source-constrained investor analysis</x:v>
      </x:c>
    </x:row>
    <x:row r="8" ht="20" customHeight="1">
      <x:c r="A8" s="8" t="str">
        <x:v>Historical anchor</x:v>
      </x:c>
      <x:c r="B8" s="10" t="str">
        <x:v>December 2025 annualized revenue rate, NOT verified SaaS ARR</x:v>
      </x:c>
    </x:row>
    <x:row r="9" ht="20" customHeight="1">
      <x:c r="A9" s="8" t="str">
        <x:v>Public data rule</x:v>
      </x:c>
      <x:c r="B9" s="10" t="str">
        <x:v>Public source does not equal independently verified financial data</x:v>
      </x:c>
    </x:row>
    <x:row r="10" ht="20" customHeight="1">
      <x:c r="A10" s="8" t="str">
        <x:v>Assumptions rule</x:v>
      </x:c>
      <x:c r="B10" s="10" t="str">
        <x:v>All forward financials, terms and valuation are illustrative analyst inputs</x:v>
      </x:c>
    </x:row>
    <x:row r="11" ht="20" customHeight="1">
      <x:c r="A11" s="8" t="str">
        <x:v>Calc rule</x:v>
      </x:c>
      <x:c r="B11" s="10" t="str">
        <x:v>Derived numeric cells must be formulas, not hardcoded outputs</x:v>
      </x:c>
    </x:row>
    <x:row r="12" ht="20" customHeight="1">
      <x:c r="A12" s="8" t="str">
        <x:v>Exposure</x:v>
      </x:c>
      <x:c r="B12" s="10" t="str">
        <x:v>Not affiliated with Flashpoint or Medida. No private company data used.</x:v>
      </x:c>
    </x:row>
    <x:row r="13" ht="20" customHeight="1">
      <x:c r="A13" s="8"/>
    </x:row>
    <x:row r="14" ht="20" customHeight="1">
      <x:c r="A14" s="8"/>
    </x:row>
    <x:row r="15" ht="24" customHeight="1">
      <x:c r="A15" s="6" t="str">
        <x:v>WORKBOOK MAP</x:v>
      </x:c>
      <x:c r="B15" s="6"/>
      <x:c r="C15" s="6"/>
      <x:c r="D15" s="6"/>
      <x:c r="E15" s="6"/>
      <x:c r="F15" s="6"/>
      <x:c r="G15" s="6"/>
      <x:c r="H15" s="6"/>
    </x:row>
    <x:row r="16" ht="20" customHeight="1">
      <x:c r="A16" s="8" t="str">
        <x:v>Public Anchors</x:v>
      </x:c>
      <x:c r="B16" t="str">
        <x:v>Exactly disclosed, sourced numbers and explicit limitations</x:v>
      </x:c>
    </x:row>
    <x:row r="17" ht="20" customHeight="1">
      <x:c r="A17" s="8" t="str">
        <x:v>Assumptions</x:v>
      </x:c>
      <x:c r="B17" t="str">
        <x:v>Editable scenario drivers, blue font and yellow fill</x:v>
      </x:c>
    </x:row>
    <x:row r="18" ht="20" customHeight="1">
      <x:c r="A18" s="8" t="str">
        <x:v>Transaction</x:v>
      </x:c>
      <x:c r="B18" t="str">
        <x:v>Illustrative primary round and optional pro-rata follow-on</x:v>
      </x:c>
    </x:row>
    <x:row r="19" ht="20" customHeight="1">
      <x:c r="A19" s="8" t="str">
        <x:v>Forecast</x:v>
      </x:c>
      <x:c r="B19" t="str">
        <x:v>Bear / base / bull annual financial projections, 2026-2033</x:v>
      </x:c>
    </x:row>
    <x:row r="20" ht="20" customHeight="1">
      <x:c r="A20" s="8" t="str">
        <x:v>Investor Returns</x:v>
      </x:c>
      <x:c r="B20" t="str">
        <x:v>Cash-flow-based investor MOIC and IRR by scenario</x:v>
      </x:c>
    </x:row>
    <x:row r="21" ht="20" customHeight="1">
      <x:c r="A21" s="8" t="str">
        <x:v>Sensitivity</x:v>
      </x:c>
      <x:c r="B21" t="str">
        <x:v>Base-case ownership economics across entry price and exit multiples</x:v>
      </x:c>
    </x:row>
    <x:row r="22" ht="20" customHeight="1">
      <x:c r="A22" s="8" t="str">
        <x:v>Diligence Gates</x:v>
      </x:c>
      <x:c r="B22" t="str">
        <x:v>Evidence required before moving from WATCH to INVEST</x:v>
      </x:c>
    </x:row>
    <x:row r="23" ht="20" customHeight="1">
      <x:c r="A23" s="8" t="str">
        <x:v>Evidence</x:v>
      </x:c>
      <x:c r="B23" t="str">
        <x:v>URLs and reliability notes for every important claim</x:v>
      </x:c>
    </x:row>
    <x:row r="24" ht="20" customHeight="1">
      <x:c r="A24" s="8" t="str">
        <x:v>Units</x:v>
      </x:c>
      <x:c r="B24" t="str">
        <x:v>USD million unless otherwise specified</x:v>
      </x:c>
    </x:row>
    <x:row r="25" ht="20" customHeight="1"/>
    <x:row r="26" ht="20" customHeight="1"/>
    <x:row r="27" ht="20" customHeight="1"/>
    <x:row r="28" ht="20" customHeight="1"/>
    <x:row r="29" ht="20" customHeight="1"/>
    <x:row r="30" ht="20" customHeight="1"/>
    <x:row r="31" ht="20" customHeight="1"/>
    <x:row r="32" ht="20" customHeight="1"/>
    <x:row r="33" ht="20" customHeight="1"/>
    <x:row r="34" ht="20" customHeight="1"/>
    <x:row r="35" ht="20" customHeight="1"/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</x:sheetData>
  <x:mergeCells>
    <x:mergeCell ref="A1:H2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7" hidden="0" customWidth="1"/>
    <x:col min="3" max="3" width="17" hidden="0" customWidth="1"/>
    <x:col min="4" max="4" width="27" hidden="0" customWidth="1"/>
    <x:col min="5" max="5" width="78" hidden="0" customWidth="1"/>
  </x:cols>
  <x:sheetData>
    <x:row r="1" ht="23" customHeight="1">
      <x:c r="A1" s="3" t="str">
        <x:v>PUBLIC FACTS | NO COMPANY FINANCIAL STATEMENTS</x:v>
      </x:c>
      <x:c r="B1" s="3"/>
      <x:c r="C1" s="3"/>
      <x:c r="D1" s="3"/>
      <x:c r="E1" s="3"/>
      <x:c r="F1" s="3"/>
      <x:c r="G1" s="3"/>
      <x:c r="H1" s="3"/>
    </x:row>
    <x:row r="2" ht="23" customHeight="1">
      <x:c r="A2" s="3"/>
      <x:c r="B2" s="3"/>
      <x:c r="C2" s="3"/>
      <x:c r="D2" s="3"/>
      <x:c r="E2" s="3"/>
      <x:c r="F2" s="3"/>
      <x:c r="G2" s="3"/>
      <x:c r="H2" s="3"/>
    </x:row>
    <x:row r="3" ht="20" customHeight="1"/>
    <x:row r="4" ht="24" customHeight="1">
      <x:c r="A4" s="13" t="str">
        <x:v>Metric</x:v>
      </x:c>
      <x:c r="B4" s="13" t="str">
        <x:v>Public input</x:v>
      </x:c>
      <x:c r="C4" s="13" t="str">
        <x:v>Unit</x:v>
      </x:c>
      <x:c r="D4" s="13" t="str">
        <x:v>Date</x:v>
      </x:c>
      <x:c r="E4" s="13" t="str">
        <x:v>Source URL</x:v>
      </x:c>
    </x:row>
    <x:row r="5" ht="20" customHeight="1">
      <x:c r="A5" t="str">
        <x:v>Reported annualized revenue rate</x:v>
      </x:c>
      <x:c r="B5" s="18" t="n">
        <x:v>3</x:v>
      </x:c>
      <x:c r="C5" t="str">
        <x:v>USD million</x:v>
      </x:c>
      <x:c r="D5" t="str">
        <x:v>Dec 2025</x:v>
      </x:c>
      <x:c r="E5" t="str">
        <x:v>https://www.calcalistech.com/ctechnews/article/bj10jmvzzl</x:v>
      </x:c>
    </x:row>
    <x:row r="6" ht="20" customHeight="1">
      <x:c r="A6" t="str">
        <x:v>Announced Seed financing</x:v>
      </x:c>
      <x:c r="B6" s="18" t="n">
        <x:v>4</x:v>
      </x:c>
      <x:c r="C6" t="str">
        <x:v>USD million</x:v>
      </x:c>
      <x:c r="D6" t="str">
        <x:v>Dec 2025</x:v>
      </x:c>
      <x:c r="E6" t="str">
        <x:v>https://www.calcalistech.com/ctechnews/article/bj10jmvzzl</x:v>
      </x:c>
    </x:row>
    <x:row r="7" ht="20" customHeight="1">
      <x:c r="A7" t="str">
        <x:v>U.S. states deployed</x:v>
      </x:c>
      <x:c r="B7" s="18" t="n">
        <x:v>35</x:v>
      </x:c>
      <x:c r="C7" t="str">
        <x:v>states</x:v>
      </x:c>
      <x:c r="D7" t="str">
        <x:v>Dec 2025</x:v>
      </x:c>
      <x:c r="E7" t="str">
        <x:v>https://www.calcalistech.com/ctechnews/article/bj10jmvzzl</x:v>
      </x:c>
    </x:row>
    <x:row r="8" ht="20" customHeight="1">
      <x:c r="A8" t="str">
        <x:v>Company logos / users (floor only)</x:v>
      </x:c>
      <x:c r="B8" s="18" t="n">
        <x:v>50</x:v>
      </x:c>
      <x:c r="C8" t="str">
        <x:v>companies</x:v>
      </x:c>
      <x:c r="D8" t="str">
        <x:v>Website retrieved Nov 2026</x:v>
      </x:c>
      <x:c r="E8" t="str">
        <x:v>https://medida.ai/</x:v>
      </x:c>
    </x:row>
    <x:row r="9" ht="20" customHeight="1">
      <x:c r="A9" t="str">
        <x:v>Reported founding year</x:v>
      </x:c>
      <x:c r="B9" s="18" t="n">
        <x:v>2024</x:v>
      </x:c>
      <x:c r="C9" t="str">
        <x:v>year</x:v>
      </x:c>
      <x:c r="D9" t="str">
        <x:v>Dec 2025</x:v>
      </x:c>
      <x:c r="E9" t="str">
        <x:v>https://www.calcalistech.com/ctechnews/article/bj10jmvzzl</x:v>
      </x:c>
    </x:row>
    <x:row r="10" ht="20" customHeight="1"/>
    <x:row r="11" ht="32" customHeight="1">
      <x:c r="A11" s="10" t="str">
        <x:v>IMPORTANT</x:v>
      </x:c>
      <x:c r="B11" s="10" t="str"/>
      <x:c r="C11" s="10"/>
      <x:c r="D11" s="10"/>
      <x:c r="E11" s="10"/>
    </x:row>
    <x:row r="12" ht="32" customHeight="1">
      <x:c r="A12" s="10" t="str">
        <x:v>The $3m figure is reported as 'revenue at an annual rate' in the article body, despite its ARR headline.</x:v>
      </x:c>
      <x:c r="B12" s="10"/>
      <x:c r="C12" s="10"/>
      <x:c r="D12" s="10"/>
      <x:c r="E12" s="10"/>
    </x:row>
    <x:row r="13" ht="32" customHeight="1">
      <x:c r="A13" s="10" t="str">
        <x:v>We do not have verified recurring / one-time mix, 2026 revenue, retention, gross margin or cap table.</x:v>
      </x:c>
      <x:c r="B13" s="10"/>
      <x:c r="C13" s="10"/>
      <x:c r="D13" s="10"/>
      <x:c r="E13" s="10"/>
    </x:row>
    <x:row r="14" ht="32" customHeight="1">
      <x:c r="A14" s="10" t="str">
        <x:v>The 'over 50 companies' claim is from Medida marketing, not confirmed paying-customer diligence.</x:v>
      </x:c>
      <x:c r="B14" s="10"/>
      <x:c r="C14" s="10"/>
      <x:c r="D14" s="10"/>
      <x:c r="E14" s="10"/>
    </x:row>
    <x:row r="15" ht="20" customHeight="1"/>
    <x:row r="16" ht="20" customHeight="1"/>
    <x:row r="17" ht="20" customHeight="1"/>
    <x:row r="18" ht="20" customHeight="1"/>
    <x:row r="19" ht="20" customHeight="1"/>
    <x:row r="20" ht="20" customHeight="1"/>
    <x:row r="21" ht="20" customHeight="1"/>
    <x:row r="22" ht="20" customHeight="1"/>
    <x:row r="23" ht="20" customHeight="1"/>
    <x:row r="24" ht="20" customHeight="1"/>
    <x:row r="25" ht="20" customHeight="1"/>
    <x:row r="26" ht="20" customHeight="1"/>
    <x:row r="27" ht="20" customHeight="1"/>
    <x:row r="28" ht="20" customHeight="1"/>
    <x:row r="29" ht="20" customHeight="1"/>
    <x:row r="30" ht="20" customHeight="1"/>
    <x:row r="31" ht="20" customHeight="1"/>
    <x:row r="32" ht="20" customHeight="1"/>
    <x:row r="33" ht="20" customHeight="1"/>
    <x:row r="34" ht="20" customHeight="1"/>
    <x:row r="35" ht="20" customHeight="1"/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</x:sheetData>
  <x:mergeCells>
    <x:mergeCell ref="A1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75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23" customHeight="1">
      <x:c r="A1" s="3" t="str">
        <x:v>ANALYST ASSUMPTIONS | NOT REPORTED FACTS</x:v>
      </x:c>
      <x:c r="B1" s="3"/>
      <x:c r="C1" s="3"/>
      <x:c r="D1" s="3"/>
      <x:c r="E1" s="3"/>
      <x:c r="F1" s="3"/>
      <x:c r="G1" s="3"/>
      <x:c r="H1" s="3"/>
    </x:row>
    <x:row r="2" ht="23" customHeight="1">
      <x:c r="A2" s="3"/>
      <x:c r="B2" s="3"/>
      <x:c r="C2" s="3"/>
      <x:c r="D2" s="3"/>
      <x:c r="E2" s="3"/>
      <x:c r="F2" s="3"/>
      <x:c r="G2" s="3"/>
      <x:c r="H2" s="3"/>
    </x:row>
    <x:row r="3" ht="20" customHeight="1"/>
    <x:row r="4" ht="24" customHeight="1">
      <x:c r="A4" s="13" t="str">
        <x:v>Driver</x:v>
      </x:c>
      <x:c r="B4" s="13" t="str">
        <x:v>Unit</x:v>
      </x:c>
      <x:c r="C4" s="13" t="str">
        <x:v>Bear</x:v>
      </x:c>
      <x:c r="D4" s="13" t="str">
        <x:v>Base</x:v>
      </x:c>
      <x:c r="E4" s="13" t="str">
        <x:v>Bull</x:v>
      </x:c>
    </x:row>
    <x:row r="5" ht="20" customHeight="1">
      <x:c r="A5" t="str">
        <x:v>2026 bridge from Dec 2025 annualized rate</x:v>
      </x:c>
      <x:c r="B5" t="str">
        <x:v>growth</x:v>
      </x:c>
      <x:c r="C5" s="20" t="n">
        <x:v>0.15</x:v>
      </x:c>
      <x:c r="D5" s="20" t="n">
        <x:v>0.4</x:v>
      </x:c>
      <x:c r="E5" s="20" t="n">
        <x:v>0.65</x:v>
      </x:c>
    </x:row>
    <x:row r="6" ht="20" customHeight="1">
      <x:c r="A6" t="str">
        <x:v>2027 revenue growth</x:v>
      </x:c>
      <x:c r="B6" t="str">
        <x:v>growth</x:v>
      </x:c>
      <x:c r="C6" s="20" t="n">
        <x:v>0.25</x:v>
      </x:c>
      <x:c r="D6" s="20" t="n">
        <x:v>0.55</x:v>
      </x:c>
      <x:c r="E6" s="20" t="n">
        <x:v>0.8</x:v>
      </x:c>
    </x:row>
    <x:row r="7" ht="20" customHeight="1">
      <x:c r="A7" t="str">
        <x:v>Annual growth step-down</x:v>
      </x:c>
      <x:c r="B7" t="str">
        <x:v>percentage points</x:v>
      </x:c>
      <x:c r="C7" s="20" t="n">
        <x:v>0.03</x:v>
      </x:c>
      <x:c r="D7" s="20" t="n">
        <x:v>0.07</x:v>
      </x:c>
      <x:c r="E7" s="20" t="n">
        <x:v>0.08</x:v>
      </x:c>
    </x:row>
    <x:row r="8" ht="20" customHeight="1">
      <x:c r="A8" t="str">
        <x:v>Terminal annual revenue multiple</x:v>
      </x:c>
      <x:c r="B8" t="str">
        <x:v>x</x:v>
      </x:c>
      <x:c r="C8" s="22" t="n">
        <x:v>2</x:v>
      </x:c>
      <x:c r="D8" s="22" t="n">
        <x:v>5</x:v>
      </x:c>
      <x:c r="E8" s="22" t="n">
        <x:v>8</x:v>
      </x:c>
    </x:row>
    <x:row r="9" ht="20" customHeight="1">
      <x:c r="A9" t="str">
        <x:v>2026 recurring mix (NOT observed)</x:v>
      </x:c>
      <x:c r="B9" t="str">
        <x:v>% of revenue</x:v>
      </x:c>
      <x:c r="C9" s="20" t="n">
        <x:v>0.25</x:v>
      </x:c>
      <x:c r="D9" s="20" t="n">
        <x:v>0.45</x:v>
      </x:c>
      <x:c r="E9" s="20" t="n">
        <x:v>0.6</x:v>
      </x:c>
    </x:row>
    <x:row r="10" ht="20" customHeight="1">
      <x:c r="A10" t="str">
        <x:v>Annual recurring mix increase</x:v>
      </x:c>
      <x:c r="B10" t="str">
        <x:v>percentage points</x:v>
      </x:c>
      <x:c r="C10" s="20" t="n">
        <x:v>0.02</x:v>
      </x:c>
      <x:c r="D10" s="20" t="n">
        <x:v>0.05</x:v>
      </x:c>
      <x:c r="E10" s="20" t="n">
        <x:v>0.06</x:v>
      </x:c>
    </x:row>
    <x:row r="11" ht="20" customHeight="1">
      <x:c r="A11" t="str">
        <x:v>Recurring revenue gross margin</x:v>
      </x:c>
      <x:c r="B11" t="str">
        <x:v>%</x:v>
      </x:c>
      <x:c r="C11" s="20" t="n">
        <x:v>0.75</x:v>
      </x:c>
      <x:c r="D11" s="20" t="n">
        <x:v>0.82</x:v>
      </x:c>
      <x:c r="E11" s="20" t="n">
        <x:v>0.86</x:v>
      </x:c>
    </x:row>
    <x:row r="12" ht="20" customHeight="1">
      <x:c r="A12" t="str">
        <x:v>Usage / service revenue gross margin</x:v>
      </x:c>
      <x:c r="B12" t="str">
        <x:v>%</x:v>
      </x:c>
      <x:c r="C12" s="20" t="n">
        <x:v>0.42</x:v>
      </x:c>
      <x:c r="D12" s="20" t="n">
        <x:v>0.55</x:v>
      </x:c>
      <x:c r="E12" s="20" t="n">
        <x:v>0.65</x:v>
      </x:c>
    </x:row>
    <x:row r="13" ht="20" customHeight="1">
      <x:c r="A13" t="str">
        <x:v>2026 S&amp;M as % sales</x:v>
      </x:c>
      <x:c r="B13" t="str">
        <x:v>%</x:v>
      </x:c>
      <x:c r="C13" s="20" t="n">
        <x:v>0.7</x:v>
      </x:c>
      <x:c r="D13" s="20" t="n">
        <x:v>0.6</x:v>
      </x:c>
      <x:c r="E13" s="20" t="n">
        <x:v>0.55</x:v>
      </x:c>
    </x:row>
    <x:row r="14" ht="20" customHeight="1">
      <x:c r="A14" t="str">
        <x:v>Annual S&amp;M intensity reduction</x:v>
      </x:c>
      <x:c r="B14" t="str">
        <x:v>percentage points</x:v>
      </x:c>
      <x:c r="C14" s="20" t="n">
        <x:v>0.04</x:v>
      </x:c>
      <x:c r="D14" s="20" t="n">
        <x:v>0.05</x:v>
      </x:c>
      <x:c r="E14" s="20" t="n">
        <x:v>0.055</x:v>
      </x:c>
    </x:row>
    <x:row r="15" ht="20" customHeight="1">
      <x:c r="A15" t="str">
        <x:v>2026 R&amp;D as % sales</x:v>
      </x:c>
      <x:c r="B15" t="str">
        <x:v>%</x:v>
      </x:c>
      <x:c r="C15" s="20" t="n">
        <x:v>0.5</x:v>
      </x:c>
      <x:c r="D15" s="20" t="n">
        <x:v>0.45</x:v>
      </x:c>
      <x:c r="E15" s="20" t="n">
        <x:v>0.4</x:v>
      </x:c>
    </x:row>
    <x:row r="16" ht="20" customHeight="1">
      <x:c r="A16" t="str">
        <x:v>Annual R&amp;D intensity reduction</x:v>
      </x:c>
      <x:c r="B16" t="str">
        <x:v>percentage points</x:v>
      </x:c>
      <x:c r="C16" s="20" t="n">
        <x:v>0.03</x:v>
      </x:c>
      <x:c r="D16" s="20" t="n">
        <x:v>0.035</x:v>
      </x:c>
      <x:c r="E16" s="20" t="n">
        <x:v>0.04</x:v>
      </x:c>
    </x:row>
    <x:row r="17" ht="20" customHeight="1">
      <x:c r="A17" t="str">
        <x:v>2026 G&amp;A as % sales</x:v>
      </x:c>
      <x:c r="B17" t="str">
        <x:v>%</x:v>
      </x:c>
      <x:c r="C17" s="20" t="n">
        <x:v>0.3</x:v>
      </x:c>
      <x:c r="D17" s="20" t="n">
        <x:v>0.27</x:v>
      </x:c>
      <x:c r="E17" s="20" t="n">
        <x:v>0.24</x:v>
      </x:c>
    </x:row>
    <x:row r="18" ht="20" customHeight="1">
      <x:c r="A18" t="str">
        <x:v>Annual G&amp;A intensity reduction</x:v>
      </x:c>
      <x:c r="B18" t="str">
        <x:v>percentage points</x:v>
      </x:c>
      <x:c r="C18" s="20" t="n">
        <x:v>0.02</x:v>
      </x:c>
      <x:c r="D18" s="20" t="n">
        <x:v>0.02</x:v>
      </x:c>
      <x:c r="E18" s="20" t="n">
        <x:v>0.02</x:v>
      </x:c>
    </x:row>
    <x:row r="19" ht="20" customHeight="1">
      <x:c r="A19" t="str">
        <x:v>Recurring revenue mix ceiling</x:v>
      </x:c>
      <x:c r="B19" t="str">
        <x:v>%</x:v>
      </x:c>
      <x:c r="C19" s="20" t="n">
        <x:v>0.75</x:v>
      </x:c>
      <x:c r="D19" s="20" t="n">
        <x:v>0.85</x:v>
      </x:c>
      <x:c r="E19" s="20" t="n">
        <x:v>0.9</x:v>
      </x:c>
    </x:row>
    <x:row r="20" ht="20" customHeight="1"/>
    <x:row r="21" ht="20" customHeight="1">
      <x:c r="A21" t="str">
        <x:v>Note</x:v>
      </x:c>
      <x:c r="B21" t="str">
        <x:v>All values in columns C:E are invented analyst scenarios and not management guidance.</x:v>
      </x:c>
    </x:row>
    <x:row r="22" ht="20" customHeight="1">
      <x:c r="A22" t="str">
        <x:v>Method</x:v>
      </x:c>
      <x:c r="B22" t="str">
        <x:v>Base is not a probability-weighted expected valuation; no empirical return distribution is implied.</x:v>
      </x:c>
    </x:row>
    <x:row r="23" ht="20" customHeight="1"/>
    <x:row r="24" ht="20" customHeight="1"/>
    <x:row r="25" ht="20" customHeight="1"/>
    <x:row r="26" ht="20" customHeight="1"/>
    <x:row r="27" ht="20" customHeight="1"/>
    <x:row r="28" ht="20" customHeight="1"/>
    <x:row r="29" ht="20" customHeight="1"/>
    <x:row r="30" ht="20" customHeight="1"/>
    <x:row r="31" ht="20" customHeight="1"/>
    <x:row r="32" ht="20" customHeight="1"/>
    <x:row r="33" ht="20" customHeight="1"/>
    <x:row r="34" ht="20" customHeight="1"/>
    <x:row r="35" ht="20" customHeight="1"/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</x:sheetData>
  <x:mergeCells>
    <x:mergeCell ref="A1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83" hidden="0" customWidth="1"/>
    <x:col min="3" max="3" width="17" hidden="0" customWidth="1"/>
    <x:col min="4" max="4" width="58" hidden="0" customWidth="1"/>
    <x:col min="5" max="5" width="17" hidden="0" customWidth="1"/>
    <x:col min="6" max="6" width="17" hidden="0" customWidth="1"/>
  </x:cols>
  <x:sheetData>
    <x:row r="1" ht="23" customHeight="1">
      <x:c r="A1" s="3" t="str">
        <x:v>ILLUSTRATIVE INVESTMENT | 2026 PRIMARY + 2029 FOLLOW-ON</x:v>
      </x:c>
      <x:c r="B1" s="3"/>
      <x:c r="C1" s="3"/>
      <x:c r="D1" s="3"/>
      <x:c r="E1" s="3"/>
      <x:c r="F1" s="3"/>
      <x:c r="G1" s="3"/>
      <x:c r="H1" s="3"/>
    </x:row>
    <x:row r="2" ht="23" customHeight="1">
      <x:c r="A2" s="3"/>
      <x:c r="B2" s="3"/>
      <x:c r="C2" s="3"/>
      <x:c r="D2" s="3"/>
      <x:c r="E2" s="3"/>
      <x:c r="F2" s="3"/>
      <x:c r="G2" s="3"/>
      <x:c r="H2" s="3"/>
    </x:row>
    <x:row r="3" ht="20" customHeight="1"/>
    <x:row r="4" ht="24" customHeight="1">
      <x:c r="A4" s="13" t="str">
        <x:v>Variable</x:v>
      </x:c>
      <x:c r="B4" s="13" t="str">
        <x:v>Value</x:v>
      </x:c>
      <x:c r="C4" s="13" t="str">
        <x:v>Units</x:v>
      </x:c>
      <x:c r="D4" s="13" t="str">
        <x:v>Interpretation</x:v>
      </x:c>
    </x:row>
    <x:row r="5" ht="20" customHeight="1">
      <x:c r="A5" t="str">
        <x:v>Entry pre-money valuation</x:v>
      </x:c>
      <x:c r="B5" s="24" t="n">
        <x:v>25</x:v>
      </x:c>
      <x:c r="C5" t="str">
        <x:v>USD m</x:v>
      </x:c>
      <x:c r="D5" t="str">
        <x:v>Analyst assumption, not market price</x:v>
      </x:c>
    </x:row>
    <x:row r="6" ht="20" customHeight="1">
      <x:c r="A6" t="str">
        <x:v>Initial Flashpoint check</x:v>
      </x:c>
      <x:c r="B6" s="24" t="n">
        <x:v>5</x:v>
      </x:c>
      <x:c r="C6" t="str">
        <x:v>USD m</x:v>
      </x:c>
      <x:c r="D6" t="str">
        <x:v>Within firm ticket range</x:v>
      </x:c>
    </x:row>
    <x:row r="7" ht="20" customHeight="1">
      <x:c r="A7" t="str">
        <x:v>Post-money valuation</x:v>
      </x:c>
      <x:c r="B7" s="30" t="n">
        <x:f>SUM(B5:B6)</x:f>
        <x:v>30</x:v>
      </x:c>
      <x:c r="C7" t="str">
        <x:v>USD m</x:v>
      </x:c>
      <x:c r="D7" t="str">
        <x:v>Primary round</x:v>
      </x:c>
    </x:row>
    <x:row r="8" ht="20" customHeight="1">
      <x:c r="A8" t="str">
        <x:v>Initial ownership</x:v>
      </x:c>
      <x:c r="B8" s="32" t="n">
        <x:f>IFERROR(B6/B7,0)</x:f>
        <x:v>0.16666666666666666</x:v>
      </x:c>
      <x:c r="C8" t="str">
        <x:v>%</x:v>
      </x:c>
      <x:c r="D8" t="str">
        <x:v>Ignoring option pool and other securities</x:v>
      </x:c>
    </x:row>
    <x:row r="9" ht="20" customHeight="1"/>
    <x:row r="10" ht="20" customHeight="1">
      <x:c r="A10" t="str">
        <x:v>Illustrative total 2029 financing</x:v>
      </x:c>
      <x:c r="B10" s="24" t="n">
        <x:v>20</x:v>
      </x:c>
      <x:c r="C10" t="str">
        <x:v>USD m</x:v>
      </x:c>
      <x:c r="D10" t="str">
        <x:v>Entire round, not only Flashpoint</x:v>
      </x:c>
    </x:row>
    <x:row r="11" ht="20" customHeight="1">
      <x:c r="A11" t="str">
        <x:v>2029 pre-money valuation</x:v>
      </x:c>
      <x:c r="B11" s="24" t="n">
        <x:v>150</x:v>
      </x:c>
      <x:c r="C11" t="str">
        <x:v>USD m</x:v>
      </x:c>
      <x:c r="D11" t="str">
        <x:v>Illustrative financing valuation</x:v>
      </x:c>
    </x:row>
    <x:row r="12" ht="20" customHeight="1">
      <x:c r="A12" t="str">
        <x:v>Flashpoint pro-rata follow-on</x:v>
      </x:c>
      <x:c r="B12" s="30" t="n">
        <x:f>B8*B10</x:f>
        <x:v>3.333333333333333</x:v>
      </x:c>
      <x:c r="C12" t="str">
        <x:v>USD m</x:v>
      </x:c>
      <x:c r="D12" t="str">
        <x:v>Keeps initial stake if same priced round</x:v>
      </x:c>
    </x:row>
    <x:row r="13" ht="20" customHeight="1">
      <x:c r="A13" t="str">
        <x:v>2029 post-money valuation</x:v>
      </x:c>
      <x:c r="B13" s="30" t="n">
        <x:f>SUM(B10:B11)</x:f>
        <x:v>170</x:v>
      </x:c>
      <x:c r="C13" t="str">
        <x:v>USD m</x:v>
      </x:c>
      <x:c r="D13" t="str">
        <x:v>Total round</x:v>
      </x:c>
    </x:row>
    <x:row r="14" ht="20" customHeight="1">
      <x:c r="A14" t="str">
        <x:v>Pro-rata preserved exit ownership</x:v>
      </x:c>
      <x:c r="B14" s="32" t="n">
        <x:f>IFERROR((B8*B11+B12)/B13,0)</x:f>
        <x:v>0.16666666666666666</x:v>
      </x:c>
      <x:c r="C14" t="str">
        <x:v>%</x:v>
      </x:c>
      <x:c r="D14" t="str">
        <x:v>Before later rounds / liquidation waterfall</x:v>
      </x:c>
    </x:row>
    <x:row r="15" ht="20" customHeight="1">
      <x:c r="A15" t="str">
        <x:v>Exit transaction costs</x:v>
      </x:c>
      <x:c r="B15" s="20" t="n">
        <x:v>0.02</x:v>
      </x:c>
      <x:c r="C15" t="str">
        <x:v>% of enterprise value</x:v>
      </x:c>
      <x:c r="D15" t="str">
        <x:v>Analyst assumption</x:v>
      </x:c>
    </x:row>
    <x:row r="16" ht="20" customHeight="1">
      <x:c r="A16" t="str">
        <x:v>Investor gross IRR hurdle</x:v>
      </x:c>
      <x:c r="B16" s="20" t="n">
        <x:v>0.25</x:v>
      </x:c>
      <x:c r="C16" t="str">
        <x:v>% annual</x:v>
      </x:c>
      <x:c r="D16" t="str">
        <x:v>Analyst investment hurdle, not Flashpoint's stated target</x:v>
      </x:c>
    </x:row>
    <x:row r="17" ht="20" customHeight="1">
      <x:c r="A17" t="str">
        <x:v>Exit year</x:v>
      </x:c>
      <x:c r="B17" s="26" t="n">
        <x:v>2033</x:v>
      </x:c>
      <x:c r="C17" t="str">
        <x:v>year</x:v>
      </x:c>
      <x:c r="D17" t="str">
        <x:v>Seven years after assumed 2026 entry</x:v>
      </x:c>
    </x:row>
    <x:row r="18" ht="20" customHeight="1">
      <x:c r="A18" t="str">
        <x:v>Entry year</x:v>
      </x:c>
      <x:c r="B18" s="26" t="n">
        <x:v>2026</x:v>
      </x:c>
      <x:c r="C18" t="str">
        <x:v>year</x:v>
      </x:c>
      <x:c r="D18" t="str">
        <x:v>Illustrative deal timing</x:v>
      </x:c>
    </x:row>
    <x:row r="19" ht="20" customHeight="1">
      <x:c r="A19" t="str">
        <x:v>Follow-on year</x:v>
      </x:c>
      <x:c r="B19" s="26" t="n">
        <x:v>2029</x:v>
      </x:c>
      <x:c r="C19" t="str">
        <x:v>year</x:v>
      </x:c>
      <x:c r="D19" t="str">
        <x:v>Pro-rata assumption</x:v>
      </x:c>
    </x:row>
    <x:row r="20" ht="20" customHeight="1"/>
    <x:row r="21" ht="20" customHeight="1"/>
    <x:row r="22" ht="24" customHeight="1">
      <x:c r="A22" s="6" t="str">
        <x:v>STRUCTURE LIMITATIONS</x:v>
      </x:c>
      <x:c r="B22" s="6"/>
      <x:c r="C22" s="6"/>
      <x:c r="D22" s="6"/>
      <x:c r="E22" s="6"/>
      <x:c r="F22" s="6"/>
    </x:row>
    <x:row r="23" ht="20" customHeight="1">
      <x:c r="A23" t="str">
        <x:v>Security type</x:v>
      </x:c>
      <x:c r="B23" t="str">
        <x:v>Assumes fully diluted, common-equivalent preferred economics.</x:v>
      </x:c>
    </x:row>
    <x:row r="24" ht="20" customHeight="1">
      <x:c r="A24" t="str">
        <x:v>Liquidation terms</x:v>
      </x:c>
      <x:c r="B24" t="str">
        <x:v>No preference waterfall modeled, actual term sheet unavailable.</x:v>
      </x:c>
    </x:row>
    <x:row r="25" ht="20" customHeight="1">
      <x:c r="A25" t="str">
        <x:v>Further dilution</x:v>
      </x:c>
      <x:c r="B25" t="str">
        <x:v>No post-2029 rounds modeled, higher dilution lowers returns.</x:v>
      </x:c>
    </x:row>
    <x:row r="26" ht="20" customHeight="1">
      <x:c r="A26" t="str">
        <x:v>Net debt</x:v>
      </x:c>
      <x:c r="B26" t="str">
        <x:v>Zero assumed. Actual cash / liabilities undisclosed.</x:v>
      </x:c>
    </x:row>
    <x:row r="27" ht="20" customHeight="1"/>
    <x:row r="28" ht="20" customHeight="1"/>
    <x:row r="29" ht="20" customHeight="1"/>
    <x:row r="30" ht="20" customHeight="1"/>
    <x:row r="31" ht="20" customHeight="1"/>
    <x:row r="32" ht="20" customHeight="1"/>
    <x:row r="33" ht="20" customHeight="1"/>
    <x:row r="34" ht="20" customHeight="1"/>
    <x:row r="35" ht="20" customHeight="1"/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</x:sheetData>
  <x:mergeCells>
    <x:mergeCell ref="A1:H2"/>
    <x:mergeCell ref="A22:F2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2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3" customHeight="1">
      <x:c r="A1" s="3" t="str">
        <x:v>REVENUE + EBITDA FORECAST | ANNUAL, USD M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</x:row>
    <x:row r="3" ht="20" customHeight="1"/>
    <x:row r="4" ht="20" customHeight="1"/>
    <x:row r="5" ht="24" customHeight="1">
      <x:c r="A5" s="13" t="str">
        <x:v>Forecast year</x:v>
      </x:c>
      <x:c r="B5" s="13" t="str"/>
      <x:c r="C5" s="13" t="n">
        <x:v>2026</x:v>
      </x:c>
      <x:c r="D5" s="13" t="n">
        <x:v>2027</x:v>
      </x:c>
      <x:c r="E5" s="13" t="n">
        <x:v>2028</x:v>
      </x:c>
      <x:c r="F5" s="13" t="n">
        <x:v>2029</x:v>
      </x:c>
      <x:c r="G5" s="13" t="n">
        <x:v>2030</x:v>
      </x:c>
      <x:c r="H5" s="13" t="n">
        <x:v>2031</x:v>
      </x:c>
      <x:c r="I5" s="13" t="n">
        <x:v>2032</x:v>
      </x:c>
      <x:c r="J5" s="13" t="n">
        <x:v>2033</x:v>
      </x:c>
    </x:row>
    <x:row r="6" ht="20" customHeight="1"/>
    <x:row r="7" ht="24" customHeight="1">
      <x:c r="A7" s="6" t="str">
        <x:v>BEAR CASE | THESE ARE SCENARIO ESTIMATES</x:v>
      </x:c>
      <x:c r="B7" s="6"/>
      <x:c r="C7" s="6"/>
      <x:c r="D7" s="6"/>
      <x:c r="E7" s="6"/>
      <x:c r="F7" s="6"/>
      <x:c r="G7" s="6"/>
      <x:c r="H7" s="6"/>
      <x:c r="I7" s="6"/>
      <x:c r="J7" s="6"/>
    </x:row>
    <x:row r="8" ht="20" customHeight="1">
      <x:c r="A8" t="str">
        <x:v>YoY growth / bridge</x:v>
      </x:c>
      <x:c r="C8" s="36" t="n">
        <x:f>Assumptions!$C$5</x:f>
        <x:v>0.15</x:v>
      </x:c>
      <x:c r="D8" s="36" t="n">
        <x:f>Assumptions!$C$6</x:f>
        <x:v>0.25</x:v>
      </x:c>
      <x:c r="E8" s="36" t="n">
        <x:f>MAX(0,D8-Assumptions!$C$7)</x:f>
        <x:v>0.22</x:v>
      </x:c>
      <x:c r="F8" s="36" t="n">
        <x:f>MAX(0,E8-Assumptions!$C$7)</x:f>
        <x:v>0.19</x:v>
      </x:c>
      <x:c r="G8" s="36" t="n">
        <x:f>MAX(0,F8-Assumptions!$C$7)</x:f>
        <x:v>0.16</x:v>
      </x:c>
      <x:c r="H8" s="36" t="n">
        <x:f>MAX(0,G8-Assumptions!$C$7)</x:f>
        <x:v>0.13</x:v>
      </x:c>
      <x:c r="I8" s="36" t="n">
        <x:f>MAX(0,H8-Assumptions!$C$7)</x:f>
        <x:v>0.1</x:v>
      </x:c>
      <x:c r="J8" s="36" t="n">
        <x:f>MAX(0,I8-Assumptions!$C$7)</x:f>
        <x:v>0.07</x:v>
      </x:c>
    </x:row>
    <x:row r="9" ht="20" customHeight="1">
      <x:c r="A9" s="48" t="str">
        <x:v>Total revenue ($m)</x:v>
      </x:c>
      <x:c r="B9" s="48"/>
      <x:c r="C9" s="49" t="n">
        <x:f>'Public Anchors'!$B$5*(1+C8)</x:f>
        <x:v>3.4499999999999997</x:v>
      </x:c>
      <x:c r="D9" s="50" t="n">
        <x:f>C9*(1+D8)</x:f>
        <x:v>4.3125</x:v>
      </x:c>
      <x:c r="E9" s="50" t="n">
        <x:f>D9*(1+E8)</x:f>
        <x:v>5.2612499999999995</x:v>
      </x:c>
      <x:c r="F9" s="50" t="n">
        <x:f>E9*(1+F8)</x:f>
        <x:v>6.260887499999999</x:v>
      </x:c>
      <x:c r="G9" s="50" t="n">
        <x:f>F9*(1+G8)</x:f>
        <x:v>7.262629499999998</x:v>
      </x:c>
      <x:c r="H9" s="50" t="n">
        <x:f>G9*(1+H8)</x:f>
        <x:v>8.206771334999997</x:v>
      </x:c>
      <x:c r="I9" s="50" t="n">
        <x:f>H9*(1+I8)</x:f>
        <x:v>9.027448468499998</x:v>
      </x:c>
      <x:c r="J9" s="50" t="n">
        <x:f>I9*(1+J8)</x:f>
        <x:v>9.659369861294998</x:v>
      </x:c>
    </x:row>
    <x:row r="10" ht="20" customHeight="1">
      <x:c r="A10" t="str">
        <x:v>Recurring share (assumed)</x:v>
      </x:c>
      <x:c r="C10" s="36" t="n">
        <x:f>Assumptions!$C$9</x:f>
        <x:v>0.25</x:v>
      </x:c>
      <x:c r="D10" s="36" t="n">
        <x:f>MIN(Assumptions!$C$19,C10+Assumptions!$C$10)</x:f>
        <x:v>0.27</x:v>
      </x:c>
      <x:c r="E10" s="36" t="n">
        <x:f>MIN(Assumptions!$C$19,D10+Assumptions!$C$10)</x:f>
        <x:v>0.29000000000000004</x:v>
      </x:c>
      <x:c r="F10" s="36" t="n">
        <x:f>MIN(Assumptions!$C$19,E10+Assumptions!$C$10)</x:f>
        <x:v>0.31000000000000005</x:v>
      </x:c>
      <x:c r="G10" s="36" t="n">
        <x:f>MIN(Assumptions!$C$19,F10+Assumptions!$C$10)</x:f>
        <x:v>0.33000000000000007</x:v>
      </x:c>
      <x:c r="H10" s="36" t="n">
        <x:f>MIN(Assumptions!$C$19,G10+Assumptions!$C$10)</x:f>
        <x:v>0.3500000000000001</x:v>
      </x:c>
      <x:c r="I10" s="36" t="n">
        <x:f>MIN(Assumptions!$C$19,H10+Assumptions!$C$10)</x:f>
        <x:v>0.3700000000000001</x:v>
      </x:c>
      <x:c r="J10" s="36" t="n">
        <x:f>MIN(Assumptions!$C$19,I10+Assumptions!$C$10)</x:f>
        <x:v>0.3900000000000001</x:v>
      </x:c>
    </x:row>
    <x:row r="11" ht="20" customHeight="1">
      <x:c r="A11" t="str">
        <x:v>Recurring revenue ($m)</x:v>
      </x:c>
      <x:c r="C11" s="30" t="n">
        <x:f>C9*C10</x:f>
        <x:v>0.8624999999999999</x:v>
      </x:c>
      <x:c r="D11" s="30" t="n">
        <x:f>D9*D10</x:f>
        <x:v>1.1643750000000002</x:v>
      </x:c>
      <x:c r="E11" s="30" t="n">
        <x:f>E9*E10</x:f>
        <x:v>1.5257625000000001</x:v>
      </x:c>
      <x:c r="F11" s="30" t="n">
        <x:f>F9*F10</x:f>
        <x:v>1.940875125</x:v>
      </x:c>
      <x:c r="G11" s="30" t="n">
        <x:f>G9*G10</x:f>
        <x:v>2.396667735</x:v>
      </x:c>
      <x:c r="H11" s="30" t="n">
        <x:f>H9*H10</x:f>
        <x:v>2.8723699672499996</x:v>
      </x:c>
      <x:c r="I11" s="30" t="n">
        <x:f>I9*I10</x:f>
        <x:v>3.340155933345</x:v>
      </x:c>
      <x:c r="J11" s="30" t="n">
        <x:f>J9*J10</x:f>
        <x:v>3.76715424590505</x:v>
      </x:c>
    </x:row>
    <x:row r="12" ht="20" customHeight="1">
      <x:c r="A12" t="str">
        <x:v>Nonrecurring / usage revenue ($m)</x:v>
      </x:c>
      <x:c r="C12" s="30" t="n">
        <x:f>C9-C11</x:f>
        <x:v>2.5875</x:v>
      </x:c>
      <x:c r="D12" s="30" t="n">
        <x:f>D9-D11</x:f>
        <x:v>3.148125</x:v>
      </x:c>
      <x:c r="E12" s="30" t="n">
        <x:f>E9-E11</x:f>
        <x:v>3.7354874999999996</x:v>
      </x:c>
      <x:c r="F12" s="30" t="n">
        <x:f>F9-F11</x:f>
        <x:v>4.320012374999999</x:v>
      </x:c>
      <x:c r="G12" s="30" t="n">
        <x:f>G9-G11</x:f>
        <x:v>4.865961764999998</x:v>
      </x:c>
      <x:c r="H12" s="30" t="n">
        <x:f>H9-H11</x:f>
        <x:v>5.334401367749997</x:v>
      </x:c>
      <x:c r="I12" s="30" t="n">
        <x:f>I9-I11</x:f>
        <x:v>5.687292535154997</x:v>
      </x:c>
      <x:c r="J12" s="30" t="n">
        <x:f>J9-J11</x:f>
        <x:v>5.892215615389947</x:v>
      </x:c>
    </x:row>
    <x:row r="13" ht="20" customHeight="1">
      <x:c r="A13" t="str">
        <x:v>Recurring gross profit ($m)</x:v>
      </x:c>
      <x:c r="C13" s="38" t="n">
        <x:f>C11*Assumptions!$C$11</x:f>
        <x:v>0.646875</x:v>
      </x:c>
      <x:c r="D13" s="38" t="n">
        <x:f>D11*Assumptions!$C$11</x:f>
        <x:v>0.8732812500000001</x:v>
      </x:c>
      <x:c r="E13" s="38" t="n">
        <x:f>E11*Assumptions!$C$11</x:f>
        <x:v>1.1443218750000002</x:v>
      </x:c>
      <x:c r="F13" s="38" t="n">
        <x:f>F11*Assumptions!$C$11</x:f>
        <x:v>1.45565634375</x:v>
      </x:c>
      <x:c r="G13" s="38" t="n">
        <x:f>G11*Assumptions!$C$11</x:f>
        <x:v>1.79750080125</x:v>
      </x:c>
      <x:c r="H13" s="38" t="n">
        <x:f>H11*Assumptions!$C$11</x:f>
        <x:v>2.1542774754374996</x:v>
      </x:c>
      <x:c r="I13" s="38" t="n">
        <x:f>I11*Assumptions!$C$11</x:f>
        <x:v>2.50511695000875</x:v>
      </x:c>
      <x:c r="J13" s="38" t="n">
        <x:f>J11*Assumptions!$C$11</x:f>
        <x:v>2.8253656844287875</x:v>
      </x:c>
    </x:row>
    <x:row r="14" ht="20" customHeight="1">
      <x:c r="A14" t="str">
        <x:v>Usage gross profit ($m)</x:v>
      </x:c>
      <x:c r="C14" s="38" t="n">
        <x:f>C12*Assumptions!$C$12</x:f>
        <x:v>1.0867499999999999</x:v>
      </x:c>
      <x:c r="D14" s="38" t="n">
        <x:f>D12*Assumptions!$C$12</x:f>
        <x:v>1.3222124999999998</x:v>
      </x:c>
      <x:c r="E14" s="38" t="n">
        <x:f>E12*Assumptions!$C$12</x:f>
        <x:v>1.5689047499999997</x:v>
      </x:c>
      <x:c r="F14" s="38" t="n">
        <x:f>F12*Assumptions!$C$12</x:f>
        <x:v>1.8144051974999995</x:v>
      </x:c>
      <x:c r="G14" s="38" t="n">
        <x:f>G12*Assumptions!$C$12</x:f>
        <x:v>2.043703941299999</x:v>
      </x:c>
      <x:c r="H14" s="38" t="n">
        <x:f>H12*Assumptions!$C$12</x:f>
        <x:v>2.240448574454999</x:v>
      </x:c>
      <x:c r="I14" s="38" t="n">
        <x:f>I12*Assumptions!$C$12</x:f>
        <x:v>2.3886628647650987</x:v>
      </x:c>
      <x:c r="J14" s="38" t="n">
        <x:f>J12*Assumptions!$C$12</x:f>
        <x:v>2.4747305584637775</x:v>
      </x:c>
    </x:row>
    <x:row r="15" ht="20" customHeight="1">
      <x:c r="A15" s="48" t="str">
        <x:v>Blended gross profit ($m)</x:v>
      </x:c>
      <x:c r="B15" s="48"/>
      <x:c r="C15" s="50" t="n">
        <x:f>SUM(C13:C14)</x:f>
        <x:v>1.733625</x:v>
      </x:c>
      <x:c r="D15" s="50" t="n">
        <x:f>SUM(D13:D14)</x:f>
        <x:v>2.19549375</x:v>
      </x:c>
      <x:c r="E15" s="50" t="n">
        <x:f>SUM(E13:E14)</x:f>
        <x:v>2.713226625</x:v>
      </x:c>
      <x:c r="F15" s="50" t="n">
        <x:f>SUM(F13:F14)</x:f>
        <x:v>3.2700615412499996</x:v>
      </x:c>
      <x:c r="G15" s="50" t="n">
        <x:f>SUM(G13:G14)</x:f>
        <x:v>3.841204742549999</x:v>
      </x:c>
      <x:c r="H15" s="50" t="n">
        <x:f>SUM(H13:H14)</x:f>
        <x:v>4.3947260498924985</x:v>
      </x:c>
      <x:c r="I15" s="50" t="n">
        <x:f>SUM(I13:I14)</x:f>
        <x:v>4.893779814773849</x:v>
      </x:c>
      <x:c r="J15" s="50" t="n">
        <x:f>SUM(J13:J14)</x:f>
        <x:v>5.300096242892565</x:v>
      </x:c>
    </x:row>
    <x:row r="16" ht="20" customHeight="1">
      <x:c r="A16" t="str">
        <x:v>Sales &amp; marketing ($m)</x:v>
      </x:c>
      <x:c r="C16" s="38" t="n">
        <x:f>C9*MAX(0,Assumptions!$C$13-(C$5-$C$5)*Assumptions!$C$14)</x:f>
        <x:v>2.4149999999999996</x:v>
      </x:c>
      <x:c r="D16" s="38" t="n">
        <x:f>D9*MAX(0,Assumptions!$C$13-(D$5-$C$5)*Assumptions!$C$14)</x:f>
        <x:v>2.8462499999999995</x:v>
      </x:c>
      <x:c r="E16" s="38" t="n">
        <x:f>E9*MAX(0,Assumptions!$C$13-(E$5-$C$5)*Assumptions!$C$14)</x:f>
        <x:v>3.2619749999999996</x:v>
      </x:c>
      <x:c r="F16" s="38" t="n">
        <x:f>F9*MAX(0,Assumptions!$C$13-(F$5-$C$5)*Assumptions!$C$14)</x:f>
        <x:v>3.631314749999999</x:v>
      </x:c>
      <x:c r="G16" s="38" t="n">
        <x:f>G9*MAX(0,Assumptions!$C$13-(G$5-$C$5)*Assumptions!$C$14)</x:f>
        <x:v>3.9218199299999985</x:v>
      </x:c>
      <x:c r="H16" s="38" t="n">
        <x:f>H9*MAX(0,Assumptions!$C$13-(H$5-$C$5)*Assumptions!$C$14)</x:f>
        <x:v>4.103385667499998</x:v>
      </x:c>
      <x:c r="I16" s="38" t="n">
        <x:f>I9*MAX(0,Assumptions!$C$13-(I$5-$C$5)*Assumptions!$C$14)</x:f>
        <x:v>4.152626295509998</x:v>
      </x:c>
      <x:c r="J16" s="38" t="n">
        <x:f>J9*MAX(0,Assumptions!$C$13-(J$5-$C$5)*Assumptions!$C$14)</x:f>
        <x:v>4.056935341743898</x:v>
      </x:c>
    </x:row>
    <x:row r="17" ht="20" customHeight="1">
      <x:c r="A17" t="str">
        <x:v>R&amp;D ($m)</x:v>
      </x:c>
      <x:c r="C17" s="38" t="n">
        <x:f>C9*MAX(0,Assumptions!$C$15-(C$5-$C$5)*Assumptions!$C$16)</x:f>
        <x:v>1.7249999999999999</x:v>
      </x:c>
      <x:c r="D17" s="38" t="n">
        <x:f>D9*MAX(0,Assumptions!$C$15-(D$5-$C$5)*Assumptions!$C$16)</x:f>
        <x:v>2.026875</x:v>
      </x:c>
      <x:c r="E17" s="38" t="n">
        <x:f>E9*MAX(0,Assumptions!$C$15-(E$5-$C$5)*Assumptions!$C$16)</x:f>
        <x:v>2.3149499999999996</x:v>
      </x:c>
      <x:c r="F17" s="38" t="n">
        <x:f>F9*MAX(0,Assumptions!$C$15-(F$5-$C$5)*Assumptions!$C$16)</x:f>
        <x:v>2.566963875</x:v>
      </x:c>
      <x:c r="G17" s="38" t="n">
        <x:f>G9*MAX(0,Assumptions!$C$15-(G$5-$C$5)*Assumptions!$C$16)</x:f>
        <x:v>2.7597992099999993</x:v>
      </x:c>
      <x:c r="H17" s="38" t="n">
        <x:f>H9*MAX(0,Assumptions!$C$15-(H$5-$C$5)*Assumptions!$C$16)</x:f>
        <x:v>2.8723699672499987</x:v>
      </x:c>
      <x:c r="I17" s="38" t="n">
        <x:f>I9*MAX(0,Assumptions!$C$15-(I$5-$C$5)*Assumptions!$C$16)</x:f>
        <x:v>2.888783509919999</x:v>
      </x:c>
      <x:c r="J17" s="38" t="n">
        <x:f>J9*MAX(0,Assumptions!$C$15-(J$5-$C$5)*Assumptions!$C$16)</x:f>
        <x:v>2.80121725977555</x:v>
      </x:c>
    </x:row>
    <x:row r="18" ht="20" customHeight="1">
      <x:c r="A18" t="str">
        <x:v>G&amp;A ($m)</x:v>
      </x:c>
      <x:c r="C18" s="38" t="n">
        <x:f>C9*MAX(0,Assumptions!$C$17-(C$5-$C$5)*Assumptions!$C$18)</x:f>
        <x:v>1.035</x:v>
      </x:c>
      <x:c r="D18" s="38" t="n">
        <x:f>D9*MAX(0,Assumptions!$C$17-(D$5-$C$5)*Assumptions!$C$18)</x:f>
        <x:v>1.2074999999999998</x:v>
      </x:c>
      <x:c r="E18" s="38" t="n">
        <x:f>E9*MAX(0,Assumptions!$C$17-(E$5-$C$5)*Assumptions!$C$18)</x:f>
        <x:v>1.3679249999999998</x:v>
      </x:c>
      <x:c r="F18" s="38" t="n">
        <x:f>F9*MAX(0,Assumptions!$C$17-(F$5-$C$5)*Assumptions!$C$18)</x:f>
        <x:v>1.5026129999999998</x:v>
      </x:c>
      <x:c r="G18" s="38" t="n">
        <x:f>G9*MAX(0,Assumptions!$C$17-(G$5-$C$5)*Assumptions!$C$18)</x:f>
        <x:v>1.5977784899999994</x:v>
      </x:c>
      <x:c r="H18" s="38" t="n">
        <x:f>H9*MAX(0,Assumptions!$C$17-(H$5-$C$5)*Assumptions!$C$18)</x:f>
        <x:v>1.6413542669999994</x:v>
      </x:c>
      <x:c r="I18" s="38" t="n">
        <x:f>I9*MAX(0,Assumptions!$C$17-(I$5-$C$5)*Assumptions!$C$18)</x:f>
        <x:v>1.6249407243299996</x:v>
      </x:c>
      <x:c r="J18" s="38" t="n">
        <x:f>J9*MAX(0,Assumptions!$C$17-(J$5-$C$5)*Assumptions!$C$18)</x:f>
        <x:v>1.5454991778071994</x:v>
      </x:c>
    </x:row>
    <x:row r="19" ht="20" customHeight="1">
      <x:c r="A19" s="48" t="str">
        <x:v>EBITDA ($m)</x:v>
      </x:c>
      <x:c r="B19" s="48"/>
      <x:c r="C19" s="50" t="n">
        <x:f>C15-SUM(C16:C18)</x:f>
        <x:v>-3.441375</x:v>
      </x:c>
      <x:c r="D19" s="50" t="n">
        <x:f>D15-SUM(D16:D18)</x:f>
        <x:v>-3.8851312499999997</x:v>
      </x:c>
      <x:c r="E19" s="50" t="n">
        <x:f>E15-SUM(E16:E18)</x:f>
        <x:v>-4.231623374999999</x:v>
      </x:c>
      <x:c r="F19" s="50" t="n">
        <x:f>F15-SUM(F16:F18)</x:f>
        <x:v>-4.430830083749999</x:v>
      </x:c>
      <x:c r="G19" s="50" t="n">
        <x:f>G15-SUM(G16:G18)</x:f>
        <x:v>-4.438192887449997</x:v>
      </x:c>
      <x:c r="H19" s="50" t="n">
        <x:f>H15-SUM(H16:H18)</x:f>
        <x:v>-4.222383851857496</x:v>
      </x:c>
      <x:c r="I19" s="50" t="n">
        <x:f>I15-SUM(I16:I18)</x:f>
        <x:v>-3.7725707149861485</x:v>
      </x:c>
      <x:c r="J19" s="50" t="n">
        <x:f>J15-SUM(J16:J18)</x:f>
        <x:v>-3.103555536434083</x:v>
      </x:c>
    </x:row>
    <x:row r="20" ht="20" customHeight="1">
      <x:c r="A20" t="str">
        <x:v>EBITDA margin</x:v>
      </x:c>
      <x:c r="C20" s="32" t="n">
        <x:f>IFERROR(C19/C9,0)</x:f>
        <x:v>-0.9975</x:v>
      </x:c>
      <x:c r="D20" s="32" t="n">
        <x:f>IFERROR(D19/D9,0)</x:f>
        <x:v>-0.9008999999999999</x:v>
      </x:c>
      <x:c r="E20" s="32" t="n">
        <x:f>IFERROR(E19/E9,0)</x:f>
        <x:v>-0.8042999999999999</x:v>
      </x:c>
      <x:c r="F20" s="32" t="n">
        <x:f>IFERROR(F19/F9,0)</x:f>
        <x:v>-0.7077</x:v>
      </x:c>
      <x:c r="G20" s="32" t="n">
        <x:f>IFERROR(G19/G9,0)</x:f>
        <x:v>-0.6110999999999998</x:v>
      </x:c>
      <x:c r="H20" s="32" t="n">
        <x:f>IFERROR(H19/H9,0)</x:f>
        <x:v>-0.5144999999999997</x:v>
      </x:c>
      <x:c r="I20" s="32" t="n">
        <x:f>IFERROR(I19/I9,0)</x:f>
        <x:v>-0.41789999999999994</x:v>
      </x:c>
      <x:c r="J20" s="32" t="n">
        <x:f>IFERROR(J19/J9,0)</x:f>
        <x:v>-0.32130000000000003</x:v>
      </x:c>
    </x:row>
    <x:row r="21" ht="20" customHeight="1">
      <x:c r="A21" t="str">
        <x:v>Blended gross margin</x:v>
      </x:c>
      <x:c r="C21" s="32" t="n">
        <x:f>IFERROR(C15/C9,0)</x:f>
        <x:v>0.5025000000000001</x:v>
      </x:c>
      <x:c r="D21" s="32" t="n">
        <x:f>IFERROR(D15/D9,0)</x:f>
        <x:v>0.5091</x:v>
      </x:c>
      <x:c r="E21" s="32" t="n">
        <x:f>IFERROR(E15/E9,0)</x:f>
        <x:v>0.5157</x:v>
      </x:c>
      <x:c r="F21" s="32" t="n">
        <x:f>IFERROR(F15/F9,0)</x:f>
        <x:v>0.5223</x:v>
      </x:c>
      <x:c r="G21" s="32" t="n">
        <x:f>IFERROR(G15/G9,0)</x:f>
        <x:v>0.5289</x:v>
      </x:c>
      <x:c r="H21" s="32" t="n">
        <x:f>IFERROR(H15/H9,0)</x:f>
        <x:v>0.5355</x:v>
      </x:c>
      <x:c r="I21" s="32" t="n">
        <x:f>IFERROR(I15/I9,0)</x:f>
        <x:v>0.5421</x:v>
      </x:c>
      <x:c r="J21" s="32" t="n">
        <x:f>IFERROR(J15/J9,0)</x:f>
        <x:v>0.5487</x:v>
      </x:c>
    </x:row>
    <x:row r="22" ht="20" customHeight="1">
      <x:c r="A22" t="str">
        <x:v>Gross profit / S&amp;M (NOT LTV:CAC)</x:v>
      </x:c>
      <x:c r="C22" s="40" t="n">
        <x:f>IFERROR(C15/C16,0)</x:f>
        <x:v>0.717857142857143</x:v>
      </x:c>
      <x:c r="D22" s="40" t="n">
        <x:f>IFERROR(D15/D16,0)</x:f>
        <x:v>0.7713636363636365</x:v>
      </x:c>
      <x:c r="E22" s="40" t="n">
        <x:f>IFERROR(E15/E16,0)</x:f>
        <x:v>0.8317741935483871</x:v>
      </x:c>
      <x:c r="F22" s="40" t="n">
        <x:f>IFERROR(F15/F16,0)</x:f>
        <x:v>0.9005172413793104</x:v>
      </x:c>
      <x:c r="G22" s="40" t="n">
        <x:f>IFERROR(G15/G16,0)</x:f>
        <x:v>0.9794444444444446</x:v>
      </x:c>
      <x:c r="H22" s="40" t="n">
        <x:f>IFERROR(H15/H16,0)</x:f>
        <x:v>1.0710000000000002</x:v>
      </x:c>
      <x:c r="I22" s="40" t="n">
        <x:f>IFERROR(I15/I16,0)</x:f>
        <x:v>1.1784782608695654</x:v>
      </x:c>
      <x:c r="J22" s="40" t="n">
        <x:f>IFERROR(J15/J16,0)</x:f>
        <x:v>1.3064285714285715</x:v>
      </x:c>
    </x:row>
    <x:row r="23" ht="20" customHeight="1"/>
    <x:row r="24" ht="20" customHeight="1"/>
    <x:row r="25" ht="24" customHeight="1">
      <x:c r="A25" s="6" t="str">
        <x:v>BASE CASE | THESE ARE SCENARIO ESTIMATES</x:v>
      </x:c>
      <x:c r="B25" s="6"/>
      <x:c r="C25" s="6"/>
      <x:c r="D25" s="6"/>
      <x:c r="E25" s="6"/>
      <x:c r="F25" s="6"/>
      <x:c r="G25" s="6"/>
      <x:c r="H25" s="6"/>
      <x:c r="I25" s="6"/>
      <x:c r="J25" s="6"/>
    </x:row>
    <x:row r="26" ht="20" customHeight="1">
      <x:c r="A26" t="str">
        <x:v>YoY growth / bridge</x:v>
      </x:c>
      <x:c r="C26" s="36" t="n">
        <x:f>Assumptions!$D$5</x:f>
        <x:v>0.4</x:v>
      </x:c>
      <x:c r="D26" s="36" t="n">
        <x:f>Assumptions!$D$6</x:f>
        <x:v>0.55</x:v>
      </x:c>
      <x:c r="E26" s="36" t="n">
        <x:f>MAX(0,D26-Assumptions!$D$7)</x:f>
        <x:v>0.48000000000000004</x:v>
      </x:c>
      <x:c r="F26" s="36" t="n">
        <x:f>MAX(0,E26-Assumptions!$D$7)</x:f>
        <x:v>0.41000000000000003</x:v>
      </x:c>
      <x:c r="G26" s="36" t="n">
        <x:f>MAX(0,F26-Assumptions!$D$7)</x:f>
        <x:v>0.34</x:v>
      </x:c>
      <x:c r="H26" s="36" t="n">
        <x:f>MAX(0,G26-Assumptions!$D$7)</x:f>
        <x:v>0.27</x:v>
      </x:c>
      <x:c r="I26" s="36" t="n">
        <x:f>MAX(0,H26-Assumptions!$D$7)</x:f>
        <x:v>0.2</x:v>
      </x:c>
      <x:c r="J26" s="36" t="n">
        <x:f>MAX(0,I26-Assumptions!$D$7)</x:f>
        <x:v>0.13</x:v>
      </x:c>
    </x:row>
    <x:row r="27" ht="20" customHeight="1">
      <x:c r="A27" s="48" t="str">
        <x:v>Total revenue ($m)</x:v>
      </x:c>
      <x:c r="B27" s="48"/>
      <x:c r="C27" s="49" t="n">
        <x:f>'Public Anchors'!$B$5*(1+C26)</x:f>
        <x:v>4.199999999999999</x:v>
      </x:c>
      <x:c r="D27" s="50" t="n">
        <x:f>C27*(1+D26)</x:f>
        <x:v>6.509999999999999</x:v>
      </x:c>
      <x:c r="E27" s="50" t="n">
        <x:f>D27*(1+E26)</x:f>
        <x:v>9.634799999999998</x:v>
      </x:c>
      <x:c r="F27" s="50" t="n">
        <x:f>E27*(1+F26)</x:f>
        <x:v>13.585068</x:v>
      </x:c>
      <x:c r="G27" s="50" t="n">
        <x:f>F27*(1+G26)</x:f>
        <x:v>18.20399112</x:v>
      </x:c>
      <x:c r="H27" s="50" t="n">
        <x:f>G27*(1+H26)</x:f>
        <x:v>23.1190687224</x:v>
      </x:c>
      <x:c r="I27" s="50" t="n">
        <x:f>H27*(1+I26)</x:f>
        <x:v>27.74288246688</x:v>
      </x:c>
      <x:c r="J27" s="50" t="n">
        <x:f>I27*(1+J26)</x:f>
        <x:v>31.349457187574398</x:v>
      </x:c>
    </x:row>
    <x:row r="28" ht="20" customHeight="1">
      <x:c r="A28" t="str">
        <x:v>Recurring share (assumed)</x:v>
      </x:c>
      <x:c r="C28" s="36" t="n">
        <x:f>Assumptions!$D$9</x:f>
        <x:v>0.45</x:v>
      </x:c>
      <x:c r="D28" s="36" t="n">
        <x:f>MIN(Assumptions!$D$19,C28+Assumptions!$D$10)</x:f>
        <x:v>0.5</x:v>
      </x:c>
      <x:c r="E28" s="36" t="n">
        <x:f>MIN(Assumptions!$D$19,D28+Assumptions!$D$10)</x:f>
        <x:v>0.55</x:v>
      </x:c>
      <x:c r="F28" s="36" t="n">
        <x:f>MIN(Assumptions!$D$19,E28+Assumptions!$D$10)</x:f>
        <x:v>0.6000000000000001</x:v>
      </x:c>
      <x:c r="G28" s="36" t="n">
        <x:f>MIN(Assumptions!$D$19,F28+Assumptions!$D$10)</x:f>
        <x:v>0.6500000000000001</x:v>
      </x:c>
      <x:c r="H28" s="36" t="n">
        <x:f>MIN(Assumptions!$D$19,G28+Assumptions!$D$10)</x:f>
        <x:v>0.7000000000000002</x:v>
      </x:c>
      <x:c r="I28" s="36" t="n">
        <x:f>MIN(Assumptions!$D$19,H28+Assumptions!$D$10)</x:f>
        <x:v>0.7500000000000002</x:v>
      </x:c>
      <x:c r="J28" s="36" t="n">
        <x:f>MIN(Assumptions!$D$19,I28+Assumptions!$D$10)</x:f>
        <x:v>0.8000000000000003</x:v>
      </x:c>
    </x:row>
    <x:row r="29" ht="20" customHeight="1">
      <x:c r="A29" t="str">
        <x:v>Recurring revenue ($m)</x:v>
      </x:c>
      <x:c r="C29" s="30" t="n">
        <x:f>C27*C28</x:f>
        <x:v>1.8899999999999997</x:v>
      </x:c>
      <x:c r="D29" s="30" t="n">
        <x:f>D27*D28</x:f>
        <x:v>3.2549999999999994</x:v>
      </x:c>
      <x:c r="E29" s="30" t="n">
        <x:f>E27*E28</x:f>
        <x:v>5.2991399999999995</x:v>
      </x:c>
      <x:c r="F29" s="30" t="n">
        <x:f>F27*F28</x:f>
        <x:v>8.1510408</x:v>
      </x:c>
      <x:c r="G29" s="30" t="n">
        <x:f>G27*G28</x:f>
        <x:v>11.832594228000003</x:v>
      </x:c>
      <x:c r="H29" s="30" t="n">
        <x:f>H27*H28</x:f>
        <x:v>16.183348105680004</x:v>
      </x:c>
      <x:c r="I29" s="30" t="n">
        <x:f>I27*I28</x:f>
        <x:v>20.807161850160007</x:v>
      </x:c>
      <x:c r="J29" s="30" t="n">
        <x:f>J27*J28</x:f>
        <x:v>25.079565750059526</x:v>
      </x:c>
    </x:row>
    <x:row r="30" ht="20" customHeight="1">
      <x:c r="A30" t="str">
        <x:v>Nonrecurring / usage revenue ($m)</x:v>
      </x:c>
      <x:c r="C30" s="30" t="n">
        <x:f>C27-C29</x:f>
        <x:v>2.3099999999999996</x:v>
      </x:c>
      <x:c r="D30" s="30" t="n">
        <x:f>D27-D29</x:f>
        <x:v>3.2549999999999994</x:v>
      </x:c>
      <x:c r="E30" s="30" t="n">
        <x:f>E27-E29</x:f>
        <x:v>4.335659999999999</x:v>
      </x:c>
      <x:c r="F30" s="30" t="n">
        <x:f>F27-F29</x:f>
        <x:v>5.434027199999999</x:v>
      </x:c>
      <x:c r="G30" s="30" t="n">
        <x:f>G27-G29</x:f>
        <x:v>6.371396891999998</x:v>
      </x:c>
      <x:c r="H30" s="30" t="n">
        <x:f>H27-H29</x:f>
        <x:v>6.935720616719998</x:v>
      </x:c>
      <x:c r="I30" s="30" t="n">
        <x:f>I27-I29</x:f>
        <x:v>6.935720616719994</x:v>
      </x:c>
      <x:c r="J30" s="30" t="n">
        <x:f>J27-J29</x:f>
        <x:v>6.269891437514872</x:v>
      </x:c>
    </x:row>
    <x:row r="31" ht="20" customHeight="1">
      <x:c r="A31" t="str">
        <x:v>Recurring gross profit ($m)</x:v>
      </x:c>
      <x:c r="C31" s="38" t="n">
        <x:f>C29*Assumptions!$D$11</x:f>
        <x:v>1.5497999999999996</x:v>
      </x:c>
      <x:c r="D31" s="38" t="n">
        <x:f>D29*Assumptions!$D$11</x:f>
        <x:v>2.6690999999999994</x:v>
      </x:c>
      <x:c r="E31" s="38" t="n">
        <x:f>E29*Assumptions!$D$11</x:f>
        <x:v>4.3452948</x:v>
      </x:c>
      <x:c r="F31" s="38" t="n">
        <x:f>F29*Assumptions!$D$11</x:f>
        <x:v>6.6838534560000005</x:v>
      </x:c>
      <x:c r="G31" s="38" t="n">
        <x:f>G29*Assumptions!$D$11</x:f>
        <x:v>9.702727266960002</x:v>
      </x:c>
      <x:c r="H31" s="38" t="n">
        <x:f>H29*Assumptions!$D$11</x:f>
        <x:v>13.270345446657602</x:v>
      </x:c>
      <x:c r="I31" s="38" t="n">
        <x:f>I29*Assumptions!$D$11</x:f>
        <x:v>17.061872717131205</x:v>
      </x:c>
      <x:c r="J31" s="38" t="n">
        <x:f>J29*Assumptions!$D$11</x:f>
        <x:v>20.56524391504881</x:v>
      </x:c>
    </x:row>
    <x:row r="32" ht="20" customHeight="1">
      <x:c r="A32" t="str">
        <x:v>Usage gross profit ($m)</x:v>
      </x:c>
      <x:c r="C32" s="38" t="n">
        <x:f>C30*Assumptions!$D$12</x:f>
        <x:v>1.2705</x:v>
      </x:c>
      <x:c r="D32" s="38" t="n">
        <x:f>D30*Assumptions!$D$12</x:f>
        <x:v>1.79025</x:v>
      </x:c>
      <x:c r="E32" s="38" t="n">
        <x:f>E30*Assumptions!$D$12</x:f>
        <x:v>2.3846129999999994</x:v>
      </x:c>
      <x:c r="F32" s="38" t="n">
        <x:f>F30*Assumptions!$D$12</x:f>
        <x:v>2.98871496</x:v>
      </x:c>
      <x:c r="G32" s="38" t="n">
        <x:f>G30*Assumptions!$D$12</x:f>
        <x:v>3.5042682905999993</x:v>
      </x:c>
      <x:c r="H32" s="38" t="n">
        <x:f>H30*Assumptions!$D$12</x:f>
        <x:v>3.814646339195999</x:v>
      </x:c>
      <x:c r="I32" s="38" t="n">
        <x:f>I30*Assumptions!$D$12</x:f>
        <x:v>3.814646339195997</x:v>
      </x:c>
      <x:c r="J32" s="38" t="n">
        <x:f>J30*Assumptions!$D$12</x:f>
        <x:v>3.44844029063318</x:v>
      </x:c>
    </x:row>
    <x:row r="33" ht="20" customHeight="1">
      <x:c r="A33" s="48" t="str">
        <x:v>Blended gross profit ($m)</x:v>
      </x:c>
      <x:c r="B33" s="48"/>
      <x:c r="C33" s="50" t="n">
        <x:f>SUM(C31:C32)</x:f>
        <x:v>2.8202999999999996</x:v>
      </x:c>
      <x:c r="D33" s="50" t="n">
        <x:f>SUM(D31:D32)</x:f>
        <x:v>4.459349999999999</x:v>
      </x:c>
      <x:c r="E33" s="50" t="n">
        <x:f>SUM(E31:E32)</x:f>
        <x:v>6.729907799999999</x:v>
      </x:c>
      <x:c r="F33" s="50" t="n">
        <x:f>SUM(F31:F32)</x:f>
        <x:v>9.672568416</x:v>
      </x:c>
      <x:c r="G33" s="50" t="n">
        <x:f>SUM(G31:G32)</x:f>
        <x:v>13.20699555756</x:v>
      </x:c>
      <x:c r="H33" s="50" t="n">
        <x:f>SUM(H31:H32)</x:f>
        <x:v>17.084991785853603</x:v>
      </x:c>
      <x:c r="I33" s="50" t="n">
        <x:f>SUM(I31:I32)</x:f>
        <x:v>20.8765190563272</x:v>
      </x:c>
      <x:c r="J33" s="50" t="n">
        <x:f>SUM(J31:J32)</x:f>
        <x:v>24.01368420568199</x:v>
      </x:c>
    </x:row>
    <x:row r="34" ht="20" customHeight="1">
      <x:c r="A34" t="str">
        <x:v>Sales &amp; marketing ($m)</x:v>
      </x:c>
      <x:c r="C34" s="38" t="n">
        <x:f>C27*MAX(0,Assumptions!$D$13-(C$5-$C$5)*Assumptions!$D$14)</x:f>
        <x:v>2.5199999999999996</x:v>
      </x:c>
      <x:c r="D34" s="38" t="n">
        <x:f>D27*MAX(0,Assumptions!$D$13-(D$5-$C$5)*Assumptions!$D$14)</x:f>
        <x:v>3.580499999999999</x:v>
      </x:c>
      <x:c r="E34" s="38" t="n">
        <x:f>E27*MAX(0,Assumptions!$D$13-(E$5-$C$5)*Assumptions!$D$14)</x:f>
        <x:v>4.817399999999999</x:v>
      </x:c>
      <x:c r="F34" s="38" t="n">
        <x:f>F27*MAX(0,Assumptions!$D$13-(F$5-$C$5)*Assumptions!$D$14)</x:f>
        <x:v>6.1132805999999995</x:v>
      </x:c>
      <x:c r="G34" s="38" t="n">
        <x:f>G27*MAX(0,Assumptions!$D$13-(G$5-$C$5)*Assumptions!$D$14)</x:f>
        <x:v>7.281596448</x:v>
      </x:c>
      <x:c r="H34" s="38" t="n">
        <x:f>H27*MAX(0,Assumptions!$D$13-(H$5-$C$5)*Assumptions!$D$14)</x:f>
        <x:v>8.09167405284</x:v>
      </x:c>
      <x:c r="I34" s="38" t="n">
        <x:f>I27*MAX(0,Assumptions!$D$13-(I$5-$C$5)*Assumptions!$D$14)</x:f>
        <x:v>8.322864740063999</x:v>
      </x:c>
      <x:c r="J34" s="38" t="n">
        <x:f>J27*MAX(0,Assumptions!$D$13-(J$5-$C$5)*Assumptions!$D$14)</x:f>
        <x:v>7.837364296893598</x:v>
      </x:c>
    </x:row>
    <x:row r="35" ht="20" customHeight="1">
      <x:c r="A35" t="str">
        <x:v>R&amp;D ($m)</x:v>
      </x:c>
      <x:c r="C35" s="38" t="n">
        <x:f>C27*MAX(0,Assumptions!$D$15-(C$5-$C$5)*Assumptions!$D$16)</x:f>
        <x:v>1.8899999999999997</x:v>
      </x:c>
      <x:c r="D35" s="38" t="n">
        <x:f>D27*MAX(0,Assumptions!$D$15-(D$5-$C$5)*Assumptions!$D$16)</x:f>
        <x:v>2.70165</x:v>
      </x:c>
      <x:c r="E35" s="38" t="n">
        <x:f>E27*MAX(0,Assumptions!$D$15-(E$5-$C$5)*Assumptions!$D$16)</x:f>
        <x:v>3.6612239999999994</x:v>
      </x:c>
      <x:c r="F35" s="38" t="n">
        <x:f>F27*MAX(0,Assumptions!$D$15-(F$5-$C$5)*Assumptions!$D$16)</x:f>
        <x:v>4.686848459999999</x:v>
      </x:c>
      <x:c r="G35" s="38" t="n">
        <x:f>G27*MAX(0,Assumptions!$D$15-(G$5-$C$5)*Assumptions!$D$16)</x:f>
        <x:v>5.6432372472</x:v>
      </x:c>
      <x:c r="H35" s="38" t="n">
        <x:f>H27*MAX(0,Assumptions!$D$15-(H$5-$C$5)*Assumptions!$D$16)</x:f>
        <x:v>6.357743898660001</x:v>
      </x:c>
      <x:c r="I35" s="38" t="n">
        <x:f>I27*MAX(0,Assumptions!$D$15-(I$5-$C$5)*Assumptions!$D$16)</x:f>
        <x:v>6.6582917920512</x:v>
      </x:c>
      <x:c r="J35" s="38" t="n">
        <x:f>J27*MAX(0,Assumptions!$D$15-(J$5-$C$5)*Assumptions!$D$16)</x:f>
        <x:v>6.426638723452752</x:v>
      </x:c>
    </x:row>
    <x:row r="36" ht="20" customHeight="1">
      <x:c r="A36" t="str">
        <x:v>G&amp;A ($m)</x:v>
      </x:c>
      <x:c r="C36" s="38" t="n">
        <x:f>C27*MAX(0,Assumptions!$D$17-(C$5-$C$5)*Assumptions!$D$18)</x:f>
        <x:v>1.134</x:v>
      </x:c>
      <x:c r="D36" s="38" t="n">
        <x:f>D27*MAX(0,Assumptions!$D$17-(D$5-$C$5)*Assumptions!$D$18)</x:f>
        <x:v>1.6274999999999997</x:v>
      </x:c>
      <x:c r="E36" s="38" t="n">
        <x:f>E27*MAX(0,Assumptions!$D$17-(E$5-$C$5)*Assumptions!$D$18)</x:f>
        <x:v>2.216004</x:v>
      </x:c>
      <x:c r="F36" s="38" t="n">
        <x:f>F27*MAX(0,Assumptions!$D$17-(F$5-$C$5)*Assumptions!$D$18)</x:f>
        <x:v>2.8528642800000004</x:v>
      </x:c>
      <x:c r="G36" s="38" t="n">
        <x:f>G27*MAX(0,Assumptions!$D$17-(G$5-$C$5)*Assumptions!$D$18)</x:f>
        <x:v>3.4587583128</x:v>
      </x:c>
      <x:c r="H36" s="38" t="n">
        <x:f>H27*MAX(0,Assumptions!$D$17-(H$5-$C$5)*Assumptions!$D$18)</x:f>
        <x:v>3.9302416828080005</x:v>
      </x:c>
      <x:c r="I36" s="38" t="n">
        <x:f>I27*MAX(0,Assumptions!$D$17-(I$5-$C$5)*Assumptions!$D$18)</x:f>
        <x:v>4.161432370032001</x:v>
      </x:c>
      <x:c r="J36" s="38" t="n">
        <x:f>J27*MAX(0,Assumptions!$D$17-(J$5-$C$5)*Assumptions!$D$18)</x:f>
        <x:v>4.075429434384672</x:v>
      </x:c>
    </x:row>
    <x:row r="37" ht="20" customHeight="1">
      <x:c r="A37" s="48" t="str">
        <x:v>EBITDA ($m)</x:v>
      </x:c>
      <x:c r="B37" s="48"/>
      <x:c r="C37" s="50" t="n">
        <x:f>C33-SUM(C34:C36)</x:f>
        <x:v>-2.723699999999999</x:v>
      </x:c>
      <x:c r="D37" s="50" t="n">
        <x:f>D33-SUM(D34:D36)</x:f>
        <x:v>-3.4502999999999995</x:v>
      </x:c>
      <x:c r="E37" s="50" t="n">
        <x:f>E33-SUM(E34:E36)</x:f>
        <x:v>-3.9647201999999986</x:v>
      </x:c>
      <x:c r="F37" s="50" t="n">
        <x:f>F33-SUM(F34:F36)</x:f>
        <x:v>-3.9804249239999994</x:v>
      </x:c>
      <x:c r="G37" s="50" t="n">
        <x:f>G33-SUM(G34:G36)</x:f>
        <x:v>-3.17659645044</x:v>
      </x:c>
      <x:c r="H37" s="50" t="n">
        <x:f>H33-SUM(H34:H36)</x:f>
        <x:v>-1.2946678484543988</x:v>
      </x:c>
      <x:c r="I37" s="50" t="n">
        <x:f>I33-SUM(I34:I36)</x:f>
        <x:v>1.7339301541800012</x:v>
      </x:c>
      <x:c r="J37" s="50" t="n">
        <x:f>J33-SUM(J34:J36)</x:f>
        <x:v>5.674251750950969</x:v>
      </x:c>
    </x:row>
    <x:row r="38" ht="20" customHeight="1">
      <x:c r="A38" t="str">
        <x:v>EBITDA margin</x:v>
      </x:c>
      <x:c r="C38" s="32" t="n">
        <x:f>IFERROR(C37/C27,0)</x:f>
        <x:v>-0.6484999999999999</x:v>
      </x:c>
      <x:c r="D38" s="32" t="n">
        <x:f>IFERROR(D37/D27,0)</x:f>
        <x:v>-0.53</x:v>
      </x:c>
      <x:c r="E38" s="32" t="n">
        <x:f>IFERROR(E37/E27,0)</x:f>
        <x:v>-0.4114999999999999</x:v>
      </x:c>
      <x:c r="F38" s="32" t="n">
        <x:f>IFERROR(F37/F27,0)</x:f>
        <x:v>-0.293</x:v>
      </x:c>
      <x:c r="G38" s="32" t="n">
        <x:f>IFERROR(G37/G27,0)</x:f>
        <x:v>-0.1745</x:v>
      </x:c>
      <x:c r="H38" s="32" t="n">
        <x:f>IFERROR(H37/H27,0)</x:f>
        <x:v>-0.055999999999999946</x:v>
      </x:c>
      <x:c r="I38" s="32" t="n">
        <x:f>IFERROR(I37/I27,0)</x:f>
        <x:v>0.06250000000000004</x:v>
      </x:c>
      <x:c r="J38" s="32" t="n">
        <x:f>IFERROR(J37/J27,0)</x:f>
        <x:v>0.1810000000000001</x:v>
      </x:c>
    </x:row>
    <x:row r="39" ht="20" customHeight="1">
      <x:c r="A39" t="str">
        <x:v>Blended gross margin</x:v>
      </x:c>
      <x:c r="C39" s="32" t="n">
        <x:f>IFERROR(C33/C27,0)</x:f>
        <x:v>0.6715</x:v>
      </x:c>
      <x:c r="D39" s="32" t="n">
        <x:f>IFERROR(D33/D27,0)</x:f>
        <x:v>0.6849999999999999</x:v>
      </x:c>
      <x:c r="E39" s="32" t="n">
        <x:f>IFERROR(E33/E27,0)</x:f>
        <x:v>0.6985</x:v>
      </x:c>
      <x:c r="F39" s="32" t="n">
        <x:f>IFERROR(F33/F27,0)</x:f>
        <x:v>0.7120000000000001</x:v>
      </x:c>
      <x:c r="G39" s="32" t="n">
        <x:f>IFERROR(G33/G27,0)</x:f>
        <x:v>0.7255</x:v>
      </x:c>
      <x:c r="H39" s="32" t="n">
        <x:f>IFERROR(H33/H27,0)</x:f>
        <x:v>0.7390000000000001</x:v>
      </x:c>
      <x:c r="I39" s="32" t="n">
        <x:f>IFERROR(I33/I27,0)</x:f>
        <x:v>0.7525</x:v>
      </x:c>
      <x:c r="J39" s="32" t="n">
        <x:f>IFERROR(J33/J27,0)</x:f>
        <x:v>0.766</x:v>
      </x:c>
    </x:row>
    <x:row r="40" ht="20" customHeight="1">
      <x:c r="A40" t="str">
        <x:v>Gross profit / S&amp;M (NOT LTV:CAC)</x:v>
      </x:c>
      <x:c r="C40" s="40" t="n">
        <x:f>IFERROR(C33/C34,0)</x:f>
        <x:v>1.1191666666666666</x:v>
      </x:c>
      <x:c r="D40" s="40" t="n">
        <x:f>IFERROR(D33/D34,0)</x:f>
        <x:v>1.2454545454545456</x:v>
      </x:c>
      <x:c r="E40" s="40" t="n">
        <x:f>IFERROR(E33/E34,0)</x:f>
        <x:v>1.397</x:v>
      </x:c>
      <x:c r="F40" s="40" t="n">
        <x:f>IFERROR(F33/F34,0)</x:f>
        <x:v>1.5822222222222224</x:v>
      </x:c>
      <x:c r="G40" s="40" t="n">
        <x:f>IFERROR(G33/G34,0)</x:f>
        <x:v>1.81375</x:v>
      </x:c>
      <x:c r="H40" s="40" t="n">
        <x:f>IFERROR(H33/H34,0)</x:f>
        <x:v>2.1114285714285717</x:v>
      </x:c>
      <x:c r="I40" s="40" t="n">
        <x:f>IFERROR(I33/I34,0)</x:f>
        <x:v>2.5083333333333337</x:v>
      </x:c>
      <x:c r="J40" s="40" t="n">
        <x:f>IFERROR(J33/J34,0)</x:f>
        <x:v>3.064000000000001</x:v>
      </x:c>
    </x:row>
    <x:row r="41" ht="20" customHeight="1"/>
    <x:row r="42" ht="20" customHeight="1"/>
    <x:row r="43" ht="24" customHeight="1">
      <x:c r="A43" s="6" t="str">
        <x:v>BULL CASE | THESE ARE SCENARIO ESTIMATES</x:v>
      </x:c>
      <x:c r="B43" s="6"/>
      <x:c r="C43" s="6"/>
      <x:c r="D43" s="6"/>
      <x:c r="E43" s="6"/>
      <x:c r="F43" s="6"/>
      <x:c r="G43" s="6"/>
      <x:c r="H43" s="6"/>
      <x:c r="I43" s="6"/>
      <x:c r="J43" s="6"/>
    </x:row>
    <x:row r="44" ht="20" customHeight="1">
      <x:c r="A44" t="str">
        <x:v>YoY growth / bridge</x:v>
      </x:c>
      <x:c r="C44" s="36" t="n">
        <x:f>Assumptions!$E$5</x:f>
        <x:v>0.65</x:v>
      </x:c>
      <x:c r="D44" s="36" t="n">
        <x:f>Assumptions!$E$6</x:f>
        <x:v>0.8</x:v>
      </x:c>
      <x:c r="E44" s="36" t="n">
        <x:f>MAX(0,D44-Assumptions!$E$7)</x:f>
        <x:v>0.7200000000000001</x:v>
      </x:c>
      <x:c r="F44" s="36" t="n">
        <x:f>MAX(0,E44-Assumptions!$E$7)</x:f>
        <x:v>0.6400000000000001</x:v>
      </x:c>
      <x:c r="G44" s="36" t="n">
        <x:f>MAX(0,F44-Assumptions!$E$7)</x:f>
        <x:v>0.5600000000000002</x:v>
      </x:c>
      <x:c r="H44" s="36" t="n">
        <x:f>MAX(0,G44-Assumptions!$E$7)</x:f>
        <x:v>0.48000000000000015</x:v>
      </x:c>
      <x:c r="I44" s="36" t="n">
        <x:f>MAX(0,H44-Assumptions!$E$7)</x:f>
        <x:v>0.40000000000000013</x:v>
      </x:c>
      <x:c r="J44" s="36" t="n">
        <x:f>MAX(0,I44-Assumptions!$E$7)</x:f>
        <x:v>0.3200000000000001</x:v>
      </x:c>
    </x:row>
    <x:row r="45" ht="20" customHeight="1">
      <x:c r="A45" s="48" t="str">
        <x:v>Total revenue ($m)</x:v>
      </x:c>
      <x:c r="B45" s="48"/>
      <x:c r="C45" s="49" t="n">
        <x:f>'Public Anchors'!$B$5*(1+C44)</x:f>
        <x:v>4.949999999999999</x:v>
      </x:c>
      <x:c r="D45" s="50" t="n">
        <x:f>C45*(1+D44)</x:f>
        <x:v>8.909999999999998</x:v>
      </x:c>
      <x:c r="E45" s="50" t="n">
        <x:f>D45*(1+E44)</x:f>
        <x:v>15.325199999999999</x:v>
      </x:c>
      <x:c r="F45" s="50" t="n">
        <x:f>E45*(1+F44)</x:f>
        <x:v>25.133328</x:v>
      </x:c>
      <x:c r="G45" s="50" t="n">
        <x:f>F45*(1+G44)</x:f>
        <x:v>39.20799168</x:v>
      </x:c>
      <x:c r="H45" s="50" t="n">
        <x:f>G45*(1+H44)</x:f>
        <x:v>58.02782768640001</x:v>
      </x:c>
      <x:c r="I45" s="50" t="n">
        <x:f>H45*(1+I44)</x:f>
        <x:v>81.23895876096002</x:v>
      </x:c>
      <x:c r="J45" s="50" t="n">
        <x:f>I45*(1+J44)</x:f>
        <x:v>107.23542556446722</x:v>
      </x:c>
    </x:row>
    <x:row r="46" ht="20" customHeight="1">
      <x:c r="A46" t="str">
        <x:v>Recurring share (assumed)</x:v>
      </x:c>
      <x:c r="C46" s="36" t="n">
        <x:f>Assumptions!$E$9</x:f>
        <x:v>0.6</x:v>
      </x:c>
      <x:c r="D46" s="36" t="n">
        <x:f>MIN(Assumptions!$E$19,C46+Assumptions!$E$10)</x:f>
        <x:v>0.6599999999999999</x:v>
      </x:c>
      <x:c r="E46" s="36" t="n">
        <x:f>MIN(Assumptions!$E$19,D46+Assumptions!$E$10)</x:f>
        <x:v>0.72</x:v>
      </x:c>
      <x:c r="F46" s="36" t="n">
        <x:f>MIN(Assumptions!$E$19,E46+Assumptions!$E$10)</x:f>
        <x:v>0.78</x:v>
      </x:c>
      <x:c r="G46" s="36" t="n">
        <x:f>MIN(Assumptions!$E$19,F46+Assumptions!$E$10)</x:f>
        <x:v>0.8400000000000001</x:v>
      </x:c>
      <x:c r="H46" s="36" t="n">
        <x:f>MIN(Assumptions!$E$19,G46+Assumptions!$E$10)</x:f>
        <x:v>0.9</x:v>
      </x:c>
      <x:c r="I46" s="36" t="n">
        <x:f>MIN(Assumptions!$E$19,H46+Assumptions!$E$10)</x:f>
        <x:v>0.9</x:v>
      </x:c>
      <x:c r="J46" s="36" t="n">
        <x:f>MIN(Assumptions!$E$19,I46+Assumptions!$E$10)</x:f>
        <x:v>0.9</x:v>
      </x:c>
    </x:row>
    <x:row r="47" ht="20" customHeight="1">
      <x:c r="A47" t="str">
        <x:v>Recurring revenue ($m)</x:v>
      </x:c>
      <x:c r="C47" s="30" t="n">
        <x:f>C45*C46</x:f>
        <x:v>2.9699999999999993</x:v>
      </x:c>
      <x:c r="D47" s="30" t="n">
        <x:f>D45*D46</x:f>
        <x:v>5.8805999999999985</x:v>
      </x:c>
      <x:c r="E47" s="30" t="n">
        <x:f>E45*E46</x:f>
        <x:v>11.034144</x:v>
      </x:c>
      <x:c r="F47" s="30" t="n">
        <x:f>F45*F46</x:f>
        <x:v>19.60399584</x:v>
      </x:c>
      <x:c r="G47" s="30" t="n">
        <x:f>G45*G46</x:f>
        <x:v>32.9347130112</x:v>
      </x:c>
      <x:c r="H47" s="30" t="n">
        <x:f>H45*H46</x:f>
        <x:v>52.22504491776001</x:v>
      </x:c>
      <x:c r="I47" s="30" t="n">
        <x:f>I45*I46</x:f>
        <x:v>73.11506288486402</x:v>
      </x:c>
      <x:c r="J47" s="30" t="n">
        <x:f>J45*J46</x:f>
        <x:v>96.5118830080205</x:v>
      </x:c>
    </x:row>
    <x:row r="48" ht="20" customHeight="1">
      <x:c r="A48" t="str">
        <x:v>Nonrecurring / usage revenue ($m)</x:v>
      </x:c>
      <x:c r="C48" s="30" t="n">
        <x:f>C45-C47</x:f>
        <x:v>1.98</x:v>
      </x:c>
      <x:c r="D48" s="30" t="n">
        <x:f>D45-D47</x:f>
        <x:v>3.0294</x:v>
      </x:c>
      <x:c r="E48" s="30" t="n">
        <x:f>E45-E47</x:f>
        <x:v>4.291055999999999</x:v>
      </x:c>
      <x:c r="F48" s="30" t="n">
        <x:f>F45-F47</x:f>
        <x:v>5.529332159999999</x:v>
      </x:c>
      <x:c r="G48" s="30" t="n">
        <x:f>G45-G47</x:f>
        <x:v>6.273278668799996</x:v>
      </x:c>
      <x:c r="H48" s="30" t="n">
        <x:f>H45-H47</x:f>
        <x:v>5.80278276864</x:v>
      </x:c>
      <x:c r="I48" s="30" t="n">
        <x:f>I45-I47</x:f>
        <x:v>8.123895876096</x:v>
      </x:c>
      <x:c r="J48" s="30" t="n">
        <x:f>J45-J47</x:f>
        <x:v>10.723542556446716</x:v>
      </x:c>
    </x:row>
    <x:row r="49" ht="20" customHeight="1">
      <x:c r="A49" t="str">
        <x:v>Recurring gross profit ($m)</x:v>
      </x:c>
      <x:c r="C49" s="38" t="n">
        <x:f>C47*Assumptions!$E$11</x:f>
        <x:v>2.5541999999999994</x:v>
      </x:c>
      <x:c r="D49" s="38" t="n">
        <x:f>D47*Assumptions!$E$11</x:f>
        <x:v>5.057315999999998</x:v>
      </x:c>
      <x:c r="E49" s="38" t="n">
        <x:f>E47*Assumptions!$E$11</x:f>
        <x:v>9.48936384</x:v>
      </x:c>
      <x:c r="F49" s="38" t="n">
        <x:f>F47*Assumptions!$E$11</x:f>
        <x:v>16.859436422399998</x:v>
      </x:c>
      <x:c r="G49" s="38" t="n">
        <x:f>G47*Assumptions!$E$11</x:f>
        <x:v>28.323853189632</x:v>
      </x:c>
      <x:c r="H49" s="38" t="n">
        <x:f>H47*Assumptions!$E$11</x:f>
        <x:v>44.91353862927361</x:v>
      </x:c>
      <x:c r="I49" s="38" t="n">
        <x:f>I47*Assumptions!$E$11</x:f>
        <x:v>62.87895408098306</x:v>
      </x:c>
      <x:c r="J49" s="38" t="n">
        <x:f>J47*Assumptions!$E$11</x:f>
        <x:v>83.00021938689763</x:v>
      </x:c>
    </x:row>
    <x:row r="50" ht="20" customHeight="1">
      <x:c r="A50" t="str">
        <x:v>Usage gross profit ($m)</x:v>
      </x:c>
      <x:c r="C50" s="38" t="n">
        <x:f>C48*Assumptions!$E$12</x:f>
        <x:v>1.287</x:v>
      </x:c>
      <x:c r="D50" s="38" t="n">
        <x:f>D48*Assumptions!$E$12</x:f>
        <x:v>1.96911</x:v>
      </x:c>
      <x:c r="E50" s="38" t="n">
        <x:f>E48*Assumptions!$E$12</x:f>
        <x:v>2.7891863999999997</x:v>
      </x:c>
      <x:c r="F50" s="38" t="n">
        <x:f>F48*Assumptions!$E$12</x:f>
        <x:v>3.5940659039999994</x:v>
      </x:c>
      <x:c r="G50" s="38" t="n">
        <x:f>G48*Assumptions!$E$12</x:f>
        <x:v>4.077631134719998</x:v>
      </x:c>
      <x:c r="H50" s="38" t="n">
        <x:f>H48*Assumptions!$E$12</x:f>
        <x:v>3.771808799616</x:v>
      </x:c>
      <x:c r="I50" s="38" t="n">
        <x:f>I48*Assumptions!$E$12</x:f>
        <x:v>5.2805323194624005</x:v>
      </x:c>
      <x:c r="J50" s="38" t="n">
        <x:f>J48*Assumptions!$E$12</x:f>
        <x:v>6.970302661690366</x:v>
      </x:c>
    </x:row>
    <x:row r="51" ht="20" customHeight="1">
      <x:c r="A51" s="48" t="str">
        <x:v>Blended gross profit ($m)</x:v>
      </x:c>
      <x:c r="B51" s="48"/>
      <x:c r="C51" s="50" t="n">
        <x:f>SUM(C49:C50)</x:f>
        <x:v>3.8411999999999993</x:v>
      </x:c>
      <x:c r="D51" s="50" t="n">
        <x:f>SUM(D49:D50)</x:f>
        <x:v>7.026425999999998</x:v>
      </x:c>
      <x:c r="E51" s="50" t="n">
        <x:f>SUM(E49:E50)</x:f>
        <x:v>12.27855024</x:v>
      </x:c>
      <x:c r="F51" s="50" t="n">
        <x:f>SUM(F49:F50)</x:f>
        <x:v>20.4535023264</x:v>
      </x:c>
      <x:c r="G51" s="50" t="n">
        <x:f>SUM(G49:G50)</x:f>
        <x:v>32.401484324352</x:v>
      </x:c>
      <x:c r="H51" s="50" t="n">
        <x:f>SUM(H49:H50)</x:f>
        <x:v>48.685347428889614</x:v>
      </x:c>
      <x:c r="I51" s="50" t="n">
        <x:f>SUM(I49:I50)</x:f>
        <x:v>68.15948640044546</x:v>
      </x:c>
      <x:c r="J51" s="50" t="n">
        <x:f>SUM(J49:J50)</x:f>
        <x:v>89.970522048588</x:v>
      </x:c>
    </x:row>
    <x:row r="52" ht="20" customHeight="1">
      <x:c r="A52" t="str">
        <x:v>Sales &amp; marketing ($m)</x:v>
      </x:c>
      <x:c r="C52" s="38" t="n">
        <x:f>C45*MAX(0,Assumptions!$E$13-(C$5-$C$5)*Assumptions!$E$14)</x:f>
        <x:v>2.7224999999999997</x:v>
      </x:c>
      <x:c r="D52" s="38" t="n">
        <x:f>D45*MAX(0,Assumptions!$E$13-(D$5-$C$5)*Assumptions!$E$14)</x:f>
        <x:v>4.41045</x:v>
      </x:c>
      <x:c r="E52" s="38" t="n">
        <x:f>E45*MAX(0,Assumptions!$E$13-(E$5-$C$5)*Assumptions!$E$14)</x:f>
        <x:v>6.743088</x:v>
      </x:c>
      <x:c r="F52" s="38" t="n">
        <x:f>F45*MAX(0,Assumptions!$E$13-(F$5-$C$5)*Assumptions!$E$14)</x:f>
        <x:v>9.67633128</x:v>
      </x:c>
      <x:c r="G52" s="38" t="n">
        <x:f>G45*MAX(0,Assumptions!$E$13-(G$5-$C$5)*Assumptions!$E$14)</x:f>
        <x:v>12.938637254400003</x:v>
      </x:c>
      <x:c r="H52" s="38" t="n">
        <x:f>H45*MAX(0,Assumptions!$E$13-(H$5-$C$5)*Assumptions!$E$14)</x:f>
        <x:v>15.957652613760004</x:v>
      </x:c>
      <x:c r="I52" s="38" t="n">
        <x:f>I45*MAX(0,Assumptions!$E$13-(I$5-$C$5)*Assumptions!$E$14)</x:f>
        <x:v>17.872570927411207</x:v>
      </x:c>
      <x:c r="J52" s="38" t="n">
        <x:f>J45*MAX(0,Assumptions!$E$13-(J$5-$C$5)*Assumptions!$E$14)</x:f>
        <x:v>17.693845218137096</x:v>
      </x:c>
    </x:row>
    <x:row r="53" ht="20" customHeight="1">
      <x:c r="A53" t="str">
        <x:v>R&amp;D ($m)</x:v>
      </x:c>
      <x:c r="C53" s="38" t="n">
        <x:f>C45*MAX(0,Assumptions!$E$15-(C$5-$C$5)*Assumptions!$E$16)</x:f>
        <x:v>1.9799999999999998</x:v>
      </x:c>
      <x:c r="D53" s="38" t="n">
        <x:f>D45*MAX(0,Assumptions!$E$15-(D$5-$C$5)*Assumptions!$E$16)</x:f>
        <x:v>3.2076</x:v>
      </x:c>
      <x:c r="E53" s="38" t="n">
        <x:f>E45*MAX(0,Assumptions!$E$15-(E$5-$C$5)*Assumptions!$E$16)</x:f>
        <x:v>4.904064</x:v>
      </x:c>
      <x:c r="F53" s="38" t="n">
        <x:f>F45*MAX(0,Assumptions!$E$15-(F$5-$C$5)*Assumptions!$E$16)</x:f>
        <x:v>7.03733184</x:v>
      </x:c>
      <x:c r="G53" s="38" t="n">
        <x:f>G45*MAX(0,Assumptions!$E$15-(G$5-$C$5)*Assumptions!$E$16)</x:f>
        <x:v>9.409918003200001</x:v>
      </x:c>
      <x:c r="H53" s="38" t="n">
        <x:f>H45*MAX(0,Assumptions!$E$15-(H$5-$C$5)*Assumptions!$E$16)</x:f>
        <x:v>11.605565537280002</x:v>
      </x:c>
      <x:c r="I53" s="38" t="n">
        <x:f>I45*MAX(0,Assumptions!$E$15-(I$5-$C$5)*Assumptions!$E$16)</x:f>
        <x:v>12.998233401753605</x:v>
      </x:c>
      <x:c r="J53" s="38" t="n">
        <x:f>J45*MAX(0,Assumptions!$E$15-(J$5-$C$5)*Assumptions!$E$16)</x:f>
        <x:v>12.868251067736066</x:v>
      </x:c>
    </x:row>
    <x:row r="54" ht="20" customHeight="1">
      <x:c r="A54" t="str">
        <x:v>G&amp;A ($m)</x:v>
      </x:c>
      <x:c r="C54" s="38" t="n">
        <x:f>C45*MAX(0,Assumptions!$E$17-(C$5-$C$5)*Assumptions!$E$18)</x:f>
        <x:v>1.1879999999999997</x:v>
      </x:c>
      <x:c r="D54" s="38" t="n">
        <x:f>D45*MAX(0,Assumptions!$E$17-(D$5-$C$5)*Assumptions!$E$18)</x:f>
        <x:v>1.9601999999999997</x:v>
      </x:c>
      <x:c r="E54" s="38" t="n">
        <x:f>E45*MAX(0,Assumptions!$E$17-(E$5-$C$5)*Assumptions!$E$18)</x:f>
        <x:v>3.0650399999999993</x:v>
      </x:c>
      <x:c r="F54" s="38" t="n">
        <x:f>F45*MAX(0,Assumptions!$E$17-(F$5-$C$5)*Assumptions!$E$18)</x:f>
        <x:v>4.52399904</x:v>
      </x:c>
      <x:c r="G54" s="38" t="n">
        <x:f>G45*MAX(0,Assumptions!$E$17-(G$5-$C$5)*Assumptions!$E$18)</x:f>
        <x:v>6.273278668799999</x:v>
      </x:c>
      <x:c r="H54" s="38" t="n">
        <x:f>H45*MAX(0,Assumptions!$E$17-(H$5-$C$5)*Assumptions!$E$18)</x:f>
        <x:v>8.123895876096</x:v>
      </x:c>
      <x:c r="I54" s="38" t="n">
        <x:f>I45*MAX(0,Assumptions!$E$17-(I$5-$C$5)*Assumptions!$E$18)</x:f>
        <x:v>9.748675051315201</x:v>
      </x:c>
      <x:c r="J54" s="38" t="n">
        <x:f>J45*MAX(0,Assumptions!$E$17-(J$5-$C$5)*Assumptions!$E$18)</x:f>
        <x:v>10.72354255644672</x:v>
      </x:c>
    </x:row>
    <x:row r="55" ht="20" customHeight="1">
      <x:c r="A55" s="48" t="str">
        <x:v>EBITDA ($m)</x:v>
      </x:c>
      <x:c r="B55" s="48"/>
      <x:c r="C55" s="50" t="n">
        <x:f>C51-SUM(C52:C54)</x:f>
        <x:v>-2.0493</x:v>
      </x:c>
      <x:c r="D55" s="50" t="n">
        <x:f>D51-SUM(D52:D54)</x:f>
        <x:v>-2.5518240000000025</x:v>
      </x:c>
      <x:c r="E55" s="50" t="n">
        <x:f>E51-SUM(E52:E54)</x:f>
        <x:v>-2.4336417600000004</x:v>
      </x:c>
      <x:c r="F55" s="50" t="n">
        <x:f>F51-SUM(F52:F54)</x:f>
        <x:v>-0.7841598336000004</x:v>
      </x:c>
      <x:c r="G55" s="50" t="n">
        <x:f>G51-SUM(G52:G54)</x:f>
        <x:v>3.7796503979519933</x:v>
      </x:c>
      <x:c r="H55" s="50" t="n">
        <x:f>H51-SUM(H52:H54)</x:f>
        <x:v>12.998233401753609</x:v>
      </x:c>
      <x:c r="I55" s="50" t="n">
        <x:f>I51-SUM(I52:I54)</x:f>
        <x:v>27.540007019965444</x:v>
      </x:c>
      <x:c r="J55" s="50" t="n">
        <x:f>J51-SUM(J52:J54)</x:f>
        <x:v>48.68488320626811</x:v>
      </x:c>
    </x:row>
    <x:row r="56" ht="20" customHeight="1">
      <x:c r="A56" t="str">
        <x:v>EBITDA margin</x:v>
      </x:c>
      <x:c r="C56" s="32" t="n">
        <x:f>IFERROR(C55/C45,0)</x:f>
        <x:v>-0.4140000000000001</x:v>
      </x:c>
      <x:c r="D56" s="32" t="n">
        <x:f>IFERROR(D55/D45,0)</x:f>
        <x:v>-0.2864000000000003</x:v>
      </x:c>
      <x:c r="E56" s="32" t="n">
        <x:f>IFERROR(E55/E45,0)</x:f>
        <x:v>-0.15880000000000005</x:v>
      </x:c>
      <x:c r="F56" s="32" t="n">
        <x:f>IFERROR(F55/F45,0)</x:f>
        <x:v>-0.03120000000000002</x:v>
      </x:c>
      <x:c r="G56" s="32" t="n">
        <x:f>IFERROR(G55/G45,0)</x:f>
        <x:v>0.09639999999999983</x:v>
      </x:c>
      <x:c r="H56" s="32" t="n">
        <x:f>IFERROR(H55/H45,0)</x:f>
        <x:v>0.22400000000000012</x:v>
      </x:c>
      <x:c r="I56" s="32" t="n">
        <x:f>IFERROR(I55/I45,0)</x:f>
        <x:v>0.33899999999999997</x:v>
      </x:c>
      <x:c r="J56" s="32" t="n">
        <x:f>IFERROR(J55/J45,0)</x:f>
        <x:v>0.45399999999999996</x:v>
      </x:c>
    </x:row>
    <x:row r="57" ht="20" customHeight="1">
      <x:c r="A57" t="str">
        <x:v>Blended gross margin</x:v>
      </x:c>
      <x:c r="C57" s="32" t="n">
        <x:f>IFERROR(C51/C45,0)</x:f>
        <x:v>0.7759999999999999</x:v>
      </x:c>
      <x:c r="D57" s="32" t="n">
        <x:f>IFERROR(D51/D45,0)</x:f>
        <x:v>0.7886</x:v>
      </x:c>
      <x:c r="E57" s="32" t="n">
        <x:f>IFERROR(E51/E45,0)</x:f>
        <x:v>0.8012</x:v>
      </x:c>
      <x:c r="F57" s="32" t="n">
        <x:f>IFERROR(F51/F45,0)</x:f>
        <x:v>0.8138</x:v>
      </x:c>
      <x:c r="G57" s="32" t="n">
        <x:f>IFERROR(G51/G45,0)</x:f>
        <x:v>0.8263999999999999</x:v>
      </x:c>
      <x:c r="H57" s="32" t="n">
        <x:f>IFERROR(H51/H45,0)</x:f>
        <x:v>0.8390000000000001</x:v>
      </x:c>
      <x:c r="I57" s="32" t="n">
        <x:f>IFERROR(I51/I45,0)</x:f>
        <x:v>0.8390000000000001</x:v>
      </x:c>
      <x:c r="J57" s="32" t="n">
        <x:f>IFERROR(J51/J45,0)</x:f>
        <x:v>0.839</x:v>
      </x:c>
    </x:row>
    <x:row r="58" ht="20" customHeight="1">
      <x:c r="A58" t="str">
        <x:v>Gross profit / S&amp;M (NOT LTV:CAC)</x:v>
      </x:c>
      <x:c r="C58" s="40" t="n">
        <x:f>IFERROR(C51/C52,0)</x:f>
        <x:v>1.410909090909091</x:v>
      </x:c>
      <x:c r="D58" s="40" t="n">
        <x:f>IFERROR(D51/D52,0)</x:f>
        <x:v>1.5931313131313127</x:v>
      </x:c>
      <x:c r="E58" s="40" t="n">
        <x:f>IFERROR(E51/E52,0)</x:f>
        <x:v>1.8209090909090908</x:v>
      </x:c>
      <x:c r="F58" s="40" t="n">
        <x:f>IFERROR(F51/F52,0)</x:f>
        <x:v>2.113766233766234</x:v>
      </x:c>
      <x:c r="G58" s="40" t="n">
        <x:f>IFERROR(G51/G52,0)</x:f>
        <x:v>2.5042424242424235</x:v>
      </x:c>
      <x:c r="H58" s="40" t="n">
        <x:f>IFERROR(H51/H52,0)</x:f>
        <x:v>3.050909090909091</x:v>
      </x:c>
      <x:c r="I58" s="40" t="n">
        <x:f>IFERROR(I51/I52,0)</x:f>
        <x:v>3.813636363636363</x:v>
      </x:c>
      <x:c r="J58" s="40" t="n">
        <x:f>IFERROR(J51/J52,0)</x:f>
        <x:v>5.084848484848483</x:v>
      </x:c>
    </x:row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</x:sheetData>
  <x:mergeCells>
    <x:mergeCell ref="A1:J2"/>
    <x:mergeCell ref="A7:J7"/>
    <x:mergeCell ref="A25:J25"/>
    <x:mergeCell ref="A43:J4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8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</x:cols>
  <x:sheetData>
    <x:row r="1" ht="23" customHeight="1">
      <x:c r="A1" s="3" t="str">
        <x:v>INVESTOR CASH FLOWS | PRO-RATA 2029 FOLLOW-ON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0" customHeight="1"/>
    <x:row r="4" ht="24" customHeight="1">
      <x:c r="A4" s="13" t="str">
        <x:v>Scenario</x:v>
      </x:c>
      <x:c r="B4" s="13" t="str">
        <x:v>2033 rev ($m)</x:v>
      </x:c>
      <x:c r="C4" s="13" t="str">
        <x:v>Exit multiple</x:v>
      </x:c>
      <x:c r="D4" s="13" t="str">
        <x:v>Enterprise value</x:v>
      </x:c>
      <x:c r="E4" s="13" t="str">
        <x:v>Net exit value</x:v>
      </x:c>
      <x:c r="F4" s="13" t="str">
        <x:v>Stake</x:v>
      </x:c>
      <x:c r="G4" s="13" t="str">
        <x:v>Gross proceeds</x:v>
      </x:c>
      <x:c r="H4" s="13" t="str">
        <x:v>Initial check</x:v>
      </x:c>
      <x:c r="I4" s="13" t="str">
        <x:v>Follow-on</x:v>
      </x:c>
      <x:c r="J4" s="13" t="str">
        <x:v>Total invested</x:v>
      </x:c>
      <x:c r="K4" s="13" t="str">
        <x:v>MOIC</x:v>
      </x:c>
      <x:c r="L4" s="13" t="str">
        <x:v>IRR</x:v>
      </x:c>
      <x:c r="M4" s="13" t="str">
        <x:v>Hurdle</x:v>
      </x:c>
    </x:row>
    <x:row r="5" ht="20" customHeight="1">
      <x:c r="A5" t="str">
        <x:v>Bear</x:v>
      </x:c>
      <x:c r="B5" s="38" t="n">
        <x:f>Forecast!J9</x:f>
        <x:v>9.659369861294998</x:v>
      </x:c>
      <x:c r="C5" s="38" t="n">
        <x:f>Assumptions!C8</x:f>
        <x:v>2</x:v>
      </x:c>
      <x:c r="D5" s="30" t="n">
        <x:f>B5*C5</x:f>
        <x:v>19.318739722589996</x:v>
      </x:c>
      <x:c r="E5" s="30" t="n">
        <x:f>D5*(1-Transaction!$B$15)</x:f>
        <x:v>18.932364928138195</x:v>
      </x:c>
      <x:c r="F5" s="36" t="n">
        <x:f>Transaction!$B$14</x:f>
        <x:v>0.16666666666666666</x:v>
      </x:c>
      <x:c r="G5" s="30" t="n">
        <x:f>E5*F5</x:f>
        <x:v>3.155394154689699</x:v>
      </x:c>
      <x:c r="H5" s="38" t="n">
        <x:f>Transaction!$B$6</x:f>
        <x:v>5</x:v>
      </x:c>
      <x:c r="I5" s="38" t="n">
        <x:f>Transaction!$B$12</x:f>
        <x:v>3.333333333333333</x:v>
      </x:c>
      <x:c r="J5" s="30" t="n">
        <x:f>SUM(H5:I5)</x:f>
        <x:v>8.333333333333332</x:v>
      </x:c>
      <x:c r="K5" s="40" t="n">
        <x:f>IFERROR(G5/J5,0)</x:f>
        <x:v>0.37864729856276397</x:v>
      </x:c>
      <x:c r="L5" s="32" t="n">
        <x:f>IRR(B12:I12)</x:f>
        <x:v>-0.15899434166663162</x:v>
      </x:c>
      <x:c r="M5" s="28" t="str">
        <x:f>IF(L5&gt;=Transaction!$B$16,"PASS","FAIL")</x:f>
        <x:v>FAIL</x:v>
      </x:c>
    </x:row>
    <x:row r="6" ht="20" customHeight="1">
      <x:c r="A6" t="str">
        <x:v>Base</x:v>
      </x:c>
      <x:c r="B6" s="38" t="n">
        <x:f>Forecast!J27</x:f>
        <x:v>31.349457187574398</x:v>
      </x:c>
      <x:c r="C6" s="38" t="n">
        <x:f>Assumptions!D8</x:f>
        <x:v>5</x:v>
      </x:c>
      <x:c r="D6" s="30" t="n">
        <x:f>B6*C6</x:f>
        <x:v>156.747285937872</x:v>
      </x:c>
      <x:c r="E6" s="30" t="n">
        <x:f>D6*(1-Transaction!$B$15)</x:f>
        <x:v>153.61234021911454</x:v>
      </x:c>
      <x:c r="F6" s="36" t="n">
        <x:f>Transaction!$B$14</x:f>
        <x:v>0.16666666666666666</x:v>
      </x:c>
      <x:c r="G6" s="30" t="n">
        <x:f>E6*F6</x:f>
        <x:v>25.602056703185756</x:v>
      </x:c>
      <x:c r="H6" s="38" t="n">
        <x:f>Transaction!$B$6</x:f>
        <x:v>5</x:v>
      </x:c>
      <x:c r="I6" s="38" t="n">
        <x:f>Transaction!$B$12</x:f>
        <x:v>3.333333333333333</x:v>
      </x:c>
      <x:c r="J6" s="30" t="n">
        <x:f>SUM(H6:I6)</x:f>
        <x:v>8.333333333333332</x:v>
      </x:c>
      <x:c r="K6" s="40" t="n">
        <x:f>IFERROR(G6/J6,0)</x:f>
        <x:v>3.0722468043822913</x:v>
      </x:c>
      <x:c r="L6" s="32" t="n">
        <x:f>IRR(B13:I13)</x:f>
        <x:v>0.20598726749209817</x:v>
      </x:c>
      <x:c r="M6" s="28" t="str">
        <x:f>IF(L6&gt;=Transaction!$B$16,"PASS","FAIL")</x:f>
        <x:v>FAIL</x:v>
      </x:c>
    </x:row>
    <x:row r="7" ht="20" customHeight="1">
      <x:c r="A7" t="str">
        <x:v>Bull</x:v>
      </x:c>
      <x:c r="B7" s="38" t="n">
        <x:f>Forecast!J45</x:f>
        <x:v>107.23542556446722</x:v>
      </x:c>
      <x:c r="C7" s="38" t="n">
        <x:f>Assumptions!E8</x:f>
        <x:v>8</x:v>
      </x:c>
      <x:c r="D7" s="30" t="n">
        <x:f>B7*C7</x:f>
        <x:v>857.8834045157378</x:v>
      </x:c>
      <x:c r="E7" s="30" t="n">
        <x:f>D7*(1-Transaction!$B$15)</x:f>
        <x:v>840.725736425423</x:v>
      </x:c>
      <x:c r="F7" s="36" t="n">
        <x:f>Transaction!$B$14</x:f>
        <x:v>0.16666666666666666</x:v>
      </x:c>
      <x:c r="G7" s="30" t="n">
        <x:f>E7*F7</x:f>
        <x:v>140.12095607090382</x:v>
      </x:c>
      <x:c r="H7" s="38" t="n">
        <x:f>Transaction!$B$6</x:f>
        <x:v>5</x:v>
      </x:c>
      <x:c r="I7" s="38" t="n">
        <x:f>Transaction!$B$12</x:f>
        <x:v>3.333333333333333</x:v>
      </x:c>
      <x:c r="J7" s="30" t="n">
        <x:f>SUM(H7:I7)</x:f>
        <x:v>8.333333333333332</x:v>
      </x:c>
      <x:c r="K7" s="40" t="n">
        <x:f>IFERROR(G7/J7,0)</x:f>
        <x:v>16.81451472850846</x:v>
      </x:c>
      <x:c r="L7" s="32" t="n">
        <x:f>IRR(B14:I14)</x:f>
        <x:v>0.5739767614289528</x:v>
      </x:c>
      <x:c r="M7" s="28" t="str">
        <x:f>IF(L7&gt;=Transaction!$B$16,"PASS","FAIL")</x:f>
        <x:v>PASS</x:v>
      </x:c>
    </x:row>
    <x:row r="8" ht="20" customHeight="1"/>
    <x:row r="9" ht="20" customHeight="1"/>
    <x:row r="10" ht="20" customHeight="1"/>
    <x:row r="11" ht="24" customHeight="1">
      <x:c r="A11" s="13"/>
      <x:c r="B11" s="13" t="n">
        <x:v>2026</x:v>
      </x:c>
      <x:c r="C11" s="13" t="n">
        <x:v>2027</x:v>
      </x:c>
      <x:c r="D11" s="13" t="n">
        <x:v>2028</x:v>
      </x:c>
      <x:c r="E11" s="13" t="n">
        <x:v>2029</x:v>
      </x:c>
      <x:c r="F11" s="13" t="n">
        <x:v>2030</x:v>
      </x:c>
      <x:c r="G11" s="13" t="n">
        <x:v>2031</x:v>
      </x:c>
      <x:c r="H11" s="13" t="n">
        <x:v>2032</x:v>
      </x:c>
      <x:c r="I11" s="13" t="n">
        <x:v>2033</x:v>
      </x:c>
    </x:row>
    <x:row r="12" ht="20" customHeight="1">
      <x:c r="A12" t="str">
        <x:v>Bear annual cashflows</x:v>
      </x:c>
      <x:c r="B12" s="30" t="n">
        <x:f>IF(B$11=Transaction!$B$18,-$H$5,IF(B$11=Transaction!$B$19,-$I$5,IF(B$11=Transaction!$B$17,$G$5,0)))</x:f>
        <x:v>-5</x:v>
      </x:c>
      <x:c r="C12" s="30" t="n">
        <x:f>IF(C$11=Transaction!$B$18,-$H$5,IF(C$11=Transaction!$B$19,-$I$5,IF(C$11=Transaction!$B$17,$G$5,0)))</x:f>
        <x:v>0</x:v>
      </x:c>
      <x:c r="D12" s="30" t="n">
        <x:f>IF(D$11=Transaction!$B$18,-$H$5,IF(D$11=Transaction!$B$19,-$I$5,IF(D$11=Transaction!$B$17,$G$5,0)))</x:f>
        <x:v>0</x:v>
      </x:c>
      <x:c r="E12" s="30" t="n">
        <x:f>IF(E$11=Transaction!$B$18,-$H$5,IF(E$11=Transaction!$B$19,-$I$5,IF(E$11=Transaction!$B$17,$G$5,0)))</x:f>
        <x:v>-3.333333333333333</x:v>
      </x:c>
      <x:c r="F12" s="30" t="n">
        <x:f>IF(F$11=Transaction!$B$18,-$H$5,IF(F$11=Transaction!$B$19,-$I$5,IF(F$11=Transaction!$B$17,$G$5,0)))</x:f>
        <x:v>0</x:v>
      </x:c>
      <x:c r="G12" s="30" t="n">
        <x:f>IF(G$11=Transaction!$B$18,-$H$5,IF(G$11=Transaction!$B$19,-$I$5,IF(G$11=Transaction!$B$17,$G$5,0)))</x:f>
        <x:v>0</x:v>
      </x:c>
      <x:c r="H12" s="30" t="n">
        <x:f>IF(H$11=Transaction!$B$18,-$H$5,IF(H$11=Transaction!$B$19,-$I$5,IF(H$11=Transaction!$B$17,$G$5,0)))</x:f>
        <x:v>0</x:v>
      </x:c>
      <x:c r="I12" s="30" t="n">
        <x:f>IF(I$11=Transaction!$B$18,-$H$5,IF(I$11=Transaction!$B$19,-$I$5,IF(I$11=Transaction!$B$17,$G$5,0)))</x:f>
        <x:v>3.155394154689699</x:v>
      </x:c>
    </x:row>
    <x:row r="13" ht="20" customHeight="1">
      <x:c r="A13" t="str">
        <x:v>Base annual cashflows</x:v>
      </x:c>
      <x:c r="B13" s="30" t="n">
        <x:f>IF(B$11=Transaction!$B$18,-$H$6,IF(B$11=Transaction!$B$19,-$I$6,IF(B$11=Transaction!$B$17,$G$6,0)))</x:f>
        <x:v>-5</x:v>
      </x:c>
      <x:c r="C13" s="30" t="n">
        <x:f>IF(C$11=Transaction!$B$18,-$H$6,IF(C$11=Transaction!$B$19,-$I$6,IF(C$11=Transaction!$B$17,$G$6,0)))</x:f>
        <x:v>0</x:v>
      </x:c>
      <x:c r="D13" s="30" t="n">
        <x:f>IF(D$11=Transaction!$B$18,-$H$6,IF(D$11=Transaction!$B$19,-$I$6,IF(D$11=Transaction!$B$17,$G$6,0)))</x:f>
        <x:v>0</x:v>
      </x:c>
      <x:c r="E13" s="30" t="n">
        <x:f>IF(E$11=Transaction!$B$18,-$H$6,IF(E$11=Transaction!$B$19,-$I$6,IF(E$11=Transaction!$B$17,$G$6,0)))</x:f>
        <x:v>-3.333333333333333</x:v>
      </x:c>
      <x:c r="F13" s="30" t="n">
        <x:f>IF(F$11=Transaction!$B$18,-$H$6,IF(F$11=Transaction!$B$19,-$I$6,IF(F$11=Transaction!$B$17,$G$6,0)))</x:f>
        <x:v>0</x:v>
      </x:c>
      <x:c r="G13" s="30" t="n">
        <x:f>IF(G$11=Transaction!$B$18,-$H$6,IF(G$11=Transaction!$B$19,-$I$6,IF(G$11=Transaction!$B$17,$G$6,0)))</x:f>
        <x:v>0</x:v>
      </x:c>
      <x:c r="H13" s="30" t="n">
        <x:f>IF(H$11=Transaction!$B$18,-$H$6,IF(H$11=Transaction!$B$19,-$I$6,IF(H$11=Transaction!$B$17,$G$6,0)))</x:f>
        <x:v>0</x:v>
      </x:c>
      <x:c r="I13" s="30" t="n">
        <x:f>IF(I$11=Transaction!$B$18,-$H$6,IF(I$11=Transaction!$B$19,-$I$6,IF(I$11=Transaction!$B$17,$G$6,0)))</x:f>
        <x:v>25.602056703185756</x:v>
      </x:c>
    </x:row>
    <x:row r="14" ht="20" customHeight="1">
      <x:c r="A14" t="str">
        <x:v>Bull annual cashflows</x:v>
      </x:c>
      <x:c r="B14" s="30" t="n">
        <x:f>IF(B$11=Transaction!$B$18,-$H$7,IF(B$11=Transaction!$B$19,-$I$7,IF(B$11=Transaction!$B$17,$G$7,0)))</x:f>
        <x:v>-5</x:v>
      </x:c>
      <x:c r="C14" s="30" t="n">
        <x:f>IF(C$11=Transaction!$B$18,-$H$7,IF(C$11=Transaction!$B$19,-$I$7,IF(C$11=Transaction!$B$17,$G$7,0)))</x:f>
        <x:v>0</x:v>
      </x:c>
      <x:c r="D14" s="30" t="n">
        <x:f>IF(D$11=Transaction!$B$18,-$H$7,IF(D$11=Transaction!$B$19,-$I$7,IF(D$11=Transaction!$B$17,$G$7,0)))</x:f>
        <x:v>0</x:v>
      </x:c>
      <x:c r="E14" s="30" t="n">
        <x:f>IF(E$11=Transaction!$B$18,-$H$7,IF(E$11=Transaction!$B$19,-$I$7,IF(E$11=Transaction!$B$17,$G$7,0)))</x:f>
        <x:v>-3.333333333333333</x:v>
      </x:c>
      <x:c r="F14" s="30" t="n">
        <x:f>IF(F$11=Transaction!$B$18,-$H$7,IF(F$11=Transaction!$B$19,-$I$7,IF(F$11=Transaction!$B$17,$G$7,0)))</x:f>
        <x:v>0</x:v>
      </x:c>
      <x:c r="G14" s="30" t="n">
        <x:f>IF(G$11=Transaction!$B$18,-$H$7,IF(G$11=Transaction!$B$19,-$I$7,IF(G$11=Transaction!$B$17,$G$7,0)))</x:f>
        <x:v>0</x:v>
      </x:c>
      <x:c r="H14" s="30" t="n">
        <x:f>IF(H$11=Transaction!$B$18,-$H$7,IF(H$11=Transaction!$B$19,-$I$7,IF(H$11=Transaction!$B$17,$G$7,0)))</x:f>
        <x:v>0</x:v>
      </x:c>
      <x:c r="I14" s="30" t="n">
        <x:f>IF(I$11=Transaction!$B$18,-$H$7,IF(I$11=Transaction!$B$19,-$I$7,IF(I$11=Transaction!$B$17,$G$7,0)))</x:f>
        <x:v>140.12095607090382</x:v>
      </x:c>
    </x:row>
    <x:row r="15" ht="20" customHeight="1"/>
    <x:row r="16" ht="20" customHeight="1"/>
    <x:row r="17" ht="24" customHeight="1">
      <x:c r="A17" s="6" t="str">
        <x:v>CONVENTIONS AND LIMITATIONS</x:v>
      </x:c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</x:row>
    <x:row r="18" ht="20" customHeight="1">
      <x:c r="A18" t="str">
        <x:v>Revenue taxonomy</x:v>
      </x:c>
      <x:c r="B18" s="10" t="str">
        <x:v>Not confirmed. This model uses ANNUAL REVENUE multiples, never asserts ARR.</x:v>
      </x:c>
    </x:row>
    <x:row r="19" ht="20" customHeight="1">
      <x:c r="A19" t="str">
        <x:v>IRR timing</x:v>
      </x:c>
      <x:c r="B19" s="10" t="str">
        <x:v>Annualized cash flows at year-end 2026, 2029 and 2033, not transaction-date XIRR.</x:v>
      </x:c>
    </x:row>
    <x:row r="20" ht="20" customHeight="1">
      <x:c r="A20" t="str">
        <x:v>Financing structure</x:v>
      </x:c>
      <x:c r="B20" s="10" t="str">
        <x:v>Pro-rata follow-on preserves ownership absent other dilution; future rounds not captured.</x:v>
      </x:c>
    </x:row>
    <x:row r="21" ht="20" customHeight="1">
      <x:c r="A21" t="str">
        <x:v>Preferred terms</x:v>
      </x:c>
      <x:c r="B21" s="10" t="str">
        <x:v>Assumes common-equivalent proceeds. No liquidation waterfall, participating preferred or debt.</x:v>
      </x:c>
    </x:row>
    <x:row r="22" ht="20" customHeight="1">
      <x:c r="A22" t="str">
        <x:v>Gross fund returns</x:v>
      </x:c>
      <x:c r="B22" s="10" t="str">
        <x:v>Before fund fees / carry, reserves outside modeled financing and fund-level expenses.</x:v>
      </x:c>
    </x:row>
    <x:row r="23" ht="20" customHeight="1"/>
    <x:row r="24" ht="20" customHeight="1"/>
    <x:row r="25" ht="20" customHeight="1"/>
    <x:row r="26" ht="20" customHeight="1"/>
    <x:row r="27" ht="20" customHeight="1"/>
    <x:row r="28" ht="20" customHeight="1"/>
    <x:row r="29" ht="20" customHeight="1"/>
    <x:row r="30" ht="20" customHeight="1"/>
    <x:row r="31" ht="20" customHeight="1"/>
    <x:row r="32" ht="20" customHeight="1"/>
    <x:row r="33" ht="20" customHeight="1"/>
    <x:row r="34" ht="20" customHeight="1"/>
    <x:row r="35" ht="20" customHeight="1"/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</x:sheetData>
  <x:mergeCells>
    <x:mergeCell ref="A1:M2"/>
    <x:mergeCell ref="A17:M17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60" hidden="0" customWidth="1"/>
    <x:col min="2" max="2" width="8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3" customHeight="1">
      <x:c r="A1" s="3" t="str">
        <x:v>BASE RETURN SENSITIVITY | ENTRY PRICE VS. EXIT REVENUE MULTIPLE</x:v>
      </x:c>
      <x:c r="B1" s="3"/>
      <x:c r="C1" s="3"/>
      <x:c r="D1" s="3"/>
      <x:c r="E1" s="3"/>
      <x:c r="F1" s="3"/>
      <x:c r="G1" s="3"/>
    </x:row>
    <x:row r="2" ht="23" customHeight="1">
      <x:c r="A2" s="3"/>
      <x:c r="B2" s="3"/>
      <x:c r="C2" s="3"/>
      <x:c r="D2" s="3"/>
      <x:c r="E2" s="3"/>
      <x:c r="F2" s="3"/>
      <x:c r="G2" s="3"/>
    </x:row>
    <x:row r="3" ht="20" customHeight="1"/>
    <x:row r="4" ht="24" customHeight="1">
      <x:c r="A4" s="6" t="str">
        <x:v>INVESTOR MOIC MATRIX | 2033 BASE FORECAST</x:v>
      </x:c>
      <x:c r="B4" s="6"/>
      <x:c r="C4" s="6"/>
      <x:c r="D4" s="6"/>
      <x:c r="E4" s="6"/>
      <x:c r="F4" s="6"/>
      <x:c r="G4" s="6"/>
    </x:row>
    <x:row r="5" ht="20" customHeight="1"/>
    <x:row r="6" ht="20" customHeight="1">
      <x:c r="A6" t="str">
        <x:v>Exit annual revenue multiple / Entry pre-money ($m)</x:v>
      </x:c>
      <x:c r="B6" s="24" t="n">
        <x:v>15</x:v>
      </x:c>
      <x:c r="C6" s="24" t="n">
        <x:v>20</x:v>
      </x:c>
      <x:c r="D6" s="24" t="n">
        <x:v>25</x:v>
      </x:c>
      <x:c r="E6" s="24" t="n">
        <x:v>30</x:v>
      </x:c>
      <x:c r="F6" s="24" t="n">
        <x:v>35</x:v>
      </x:c>
    </x:row>
    <x:row r="7" ht="20" customHeight="1">
      <x:c r="A7" s="22" t="n">
        <x:v>3</x:v>
      </x:c>
      <x:c r="B7" s="40" t="n">
        <x:f>(Forecast!$J$27*$A7*(1-Transaction!$B$15)*(Transaction!$B$6/(Transaction!$B$6+B$6)))/(Transaction!$B$6+Transaction!$B$10*(Transaction!$B$6/(Transaction!$B$6+B$6)))</x:f>
        <x:v>2.304185103286718</x:v>
      </x:c>
      <x:c r="C7" s="40" t="n">
        <x:f>(Forecast!$J$27*$A7*(1-Transaction!$B$15)*(Transaction!$B$6/(Transaction!$B$6+C$6)))/(Transaction!$B$6+Transaction!$B$10*(Transaction!$B$6/(Transaction!$B$6+C$6)))</x:f>
        <x:v>2.048164536254861</x:v>
      </x:c>
      <x:c r="D7" s="40" t="n">
        <x:f>(Forecast!$J$27*$A7*(1-Transaction!$B$15)*(Transaction!$B$6/(Transaction!$B$6+D$6)))/(Transaction!$B$6+Transaction!$B$10*(Transaction!$B$6/(Transaction!$B$6+D$6)))</x:f>
        <x:v>1.8433480826293747</x:v>
      </x:c>
      <x:c r="E7" s="40" t="n">
        <x:f>(Forecast!$J$27*$A7*(1-Transaction!$B$15)*(Transaction!$B$6/(Transaction!$B$6+E$6)))/(Transaction!$B$6+Transaction!$B$10*(Transaction!$B$6/(Transaction!$B$6+E$6)))</x:f>
        <x:v>1.6757709842085224</x:v>
      </x:c>
      <x:c r="F7" s="40" t="n">
        <x:f>(Forecast!$J$27*$A7*(1-Transaction!$B$15)*(Transaction!$B$6/(Transaction!$B$6+F$6)))/(Transaction!$B$6+Transaction!$B$10*(Transaction!$B$6/(Transaction!$B$6+F$6)))</x:f>
        <x:v>1.5361234021911454</x:v>
      </x:c>
    </x:row>
    <x:row r="8" ht="20" customHeight="1">
      <x:c r="A8" s="22" t="n">
        <x:v>4</x:v>
      </x:c>
      <x:c r="B8" s="40" t="n">
        <x:f>(Forecast!$J$27*$A8*(1-Transaction!$B$15)*(Transaction!$B$6/(Transaction!$B$6+B$6)))/(Transaction!$B$6+Transaction!$B$10*(Transaction!$B$6/(Transaction!$B$6+B$6)))</x:f>
        <x:v>3.0722468043822913</x:v>
      </x:c>
      <x:c r="C8" s="40" t="n">
        <x:f>(Forecast!$J$27*$A8*(1-Transaction!$B$15)*(Transaction!$B$6/(Transaction!$B$6+C$6)))/(Transaction!$B$6+Transaction!$B$10*(Transaction!$B$6/(Transaction!$B$6+C$6)))</x:f>
        <x:v>2.7308860483398143</x:v>
      </x:c>
      <x:c r="D8" s="40" t="n">
        <x:f>(Forecast!$J$27*$A8*(1-Transaction!$B$15)*(Transaction!$B$6/(Transaction!$B$6+D$6)))/(Transaction!$B$6+Transaction!$B$10*(Transaction!$B$6/(Transaction!$B$6+D$6)))</x:f>
        <x:v>2.4577974435058327</x:v>
      </x:c>
      <x:c r="E8" s="40" t="n">
        <x:f>(Forecast!$J$27*$A8*(1-Transaction!$B$15)*(Transaction!$B$6/(Transaction!$B$6+E$6)))/(Transaction!$B$6+Transaction!$B$10*(Transaction!$B$6/(Transaction!$B$6+E$6)))</x:f>
        <x:v>2.23436131227803</x:v>
      </x:c>
      <x:c r="F8" s="40" t="n">
        <x:f>(Forecast!$J$27*$A8*(1-Transaction!$B$15)*(Transaction!$B$6/(Transaction!$B$6+F$6)))/(Transaction!$B$6+Transaction!$B$10*(Transaction!$B$6/(Transaction!$B$6+F$6)))</x:f>
        <x:v>2.048164536254861</x:v>
      </x:c>
    </x:row>
    <x:row r="9" ht="20" customHeight="1">
      <x:c r="A9" s="22" t="n">
        <x:v>5</x:v>
      </x:c>
      <x:c r="B9" s="40" t="n">
        <x:f>(Forecast!$J$27*$A9*(1-Transaction!$B$15)*(Transaction!$B$6/(Transaction!$B$6+B$6)))/(Transaction!$B$6+Transaction!$B$10*(Transaction!$B$6/(Transaction!$B$6+B$6)))</x:f>
        <x:v>3.8403085054778634</x:v>
      </x:c>
      <x:c r="C9" s="40" t="n">
        <x:f>(Forecast!$J$27*$A9*(1-Transaction!$B$15)*(Transaction!$B$6/(Transaction!$B$6+C$6)))/(Transaction!$B$6+Transaction!$B$10*(Transaction!$B$6/(Transaction!$B$6+C$6)))</x:f>
        <x:v>3.4136075604247678</x:v>
      </x:c>
      <x:c r="D9" s="40" t="n">
        <x:f>(Forecast!$J$27*$A9*(1-Transaction!$B$15)*(Transaction!$B$6/(Transaction!$B$6+D$6)))/(Transaction!$B$6+Transaction!$B$10*(Transaction!$B$6/(Transaction!$B$6+D$6)))</x:f>
        <x:v>3.0722468043822913</x:v>
      </x:c>
      <x:c r="E9" s="40" t="n">
        <x:f>(Forecast!$J$27*$A9*(1-Transaction!$B$15)*(Transaction!$B$6/(Transaction!$B$6+E$6)))/(Transaction!$B$6+Transaction!$B$10*(Transaction!$B$6/(Transaction!$B$6+E$6)))</x:f>
        <x:v>2.792951640347537</x:v>
      </x:c>
      <x:c r="F9" s="40" t="n">
        <x:f>(Forecast!$J$27*$A9*(1-Transaction!$B$15)*(Transaction!$B$6/(Transaction!$B$6+F$6)))/(Transaction!$B$6+Transaction!$B$10*(Transaction!$B$6/(Transaction!$B$6+F$6)))</x:f>
        <x:v>2.5602056703185756</x:v>
      </x:c>
    </x:row>
    <x:row r="10" ht="20" customHeight="1">
      <x:c r="A10" s="22" t="n">
        <x:v>6</x:v>
      </x:c>
      <x:c r="B10" s="40" t="n">
        <x:f>(Forecast!$J$27*$A10*(1-Transaction!$B$15)*(Transaction!$B$6/(Transaction!$B$6+B$6)))/(Transaction!$B$6+Transaction!$B$10*(Transaction!$B$6/(Transaction!$B$6+B$6)))</x:f>
        <x:v>4.608370206573436</x:v>
      </x:c>
      <x:c r="C10" s="40" t="n">
        <x:f>(Forecast!$J$27*$A10*(1-Transaction!$B$15)*(Transaction!$B$6/(Transaction!$B$6+C$6)))/(Transaction!$B$6+Transaction!$B$10*(Transaction!$B$6/(Transaction!$B$6+C$6)))</x:f>
        <x:v>4.096329072509722</x:v>
      </x:c>
      <x:c r="D10" s="40" t="n">
        <x:f>(Forecast!$J$27*$A10*(1-Transaction!$B$15)*(Transaction!$B$6/(Transaction!$B$6+D$6)))/(Transaction!$B$6+Transaction!$B$10*(Transaction!$B$6/(Transaction!$B$6+D$6)))</x:f>
        <x:v>3.6866961652587493</x:v>
      </x:c>
      <x:c r="E10" s="40" t="n">
        <x:f>(Forecast!$J$27*$A10*(1-Transaction!$B$15)*(Transaction!$B$6/(Transaction!$B$6+E$6)))/(Transaction!$B$6+Transaction!$B$10*(Transaction!$B$6/(Transaction!$B$6+E$6)))</x:f>
        <x:v>3.351541968417045</x:v>
      </x:c>
      <x:c r="F10" s="40" t="n">
        <x:f>(Forecast!$J$27*$A10*(1-Transaction!$B$15)*(Transaction!$B$6/(Transaction!$B$6+F$6)))/(Transaction!$B$6+Transaction!$B$10*(Transaction!$B$6/(Transaction!$B$6+F$6)))</x:f>
        <x:v>3.072246804382291</x:v>
      </x:c>
    </x:row>
    <x:row r="11" ht="20" customHeight="1">
      <x:c r="A11" s="22" t="n">
        <x:v>7</x:v>
      </x:c>
      <x:c r="B11" s="40" t="n">
        <x:f>(Forecast!$J$27*$A11*(1-Transaction!$B$15)*(Transaction!$B$6/(Transaction!$B$6+B$6)))/(Transaction!$B$6+Transaction!$B$10*(Transaction!$B$6/(Transaction!$B$6+B$6)))</x:f>
        <x:v>5.3764319076690095</x:v>
      </x:c>
      <x:c r="C11" s="40" t="n">
        <x:f>(Forecast!$J$27*$A11*(1-Transaction!$B$15)*(Transaction!$B$6/(Transaction!$B$6+C$6)))/(Transaction!$B$6+Transaction!$B$10*(Transaction!$B$6/(Transaction!$B$6+C$6)))</x:f>
        <x:v>4.779050584594675</x:v>
      </x:c>
      <x:c r="D11" s="40" t="n">
        <x:f>(Forecast!$J$27*$A11*(1-Transaction!$B$15)*(Transaction!$B$6/(Transaction!$B$6+D$6)))/(Transaction!$B$6+Transaction!$B$10*(Transaction!$B$6/(Transaction!$B$6+D$6)))</x:f>
        <x:v>4.301145526135208</x:v>
      </x:c>
      <x:c r="E11" s="40" t="n">
        <x:f>(Forecast!$J$27*$A11*(1-Transaction!$B$15)*(Transaction!$B$6/(Transaction!$B$6+E$6)))/(Transaction!$B$6+Transaction!$B$10*(Transaction!$B$6/(Transaction!$B$6+E$6)))</x:f>
        <x:v>3.910132296486552</x:v>
      </x:c>
      <x:c r="F11" s="40" t="n">
        <x:f>(Forecast!$J$27*$A11*(1-Transaction!$B$15)*(Transaction!$B$6/(Transaction!$B$6+F$6)))/(Transaction!$B$6+Transaction!$B$10*(Transaction!$B$6/(Transaction!$B$6+F$6)))</x:f>
        <x:v>3.584287938446006</x:v>
      </x:c>
    </x:row>
    <x:row r="12" ht="20" customHeight="1"/>
    <x:row r="13" ht="20" customHeight="1"/>
    <x:row r="14" ht="24" customHeight="1">
      <x:c r="A14" s="6" t="str">
        <x:v>MAXIMUM ENTRY PRICE AT REQUIRED IRR | BASE UNDERWRITING</x:v>
      </x:c>
      <x:c r="B14" s="6"/>
      <x:c r="C14" s="6"/>
      <x:c r="D14" s="6"/>
      <x:c r="E14" s="6"/>
      <x:c r="F14" s="6"/>
      <x:c r="G14" s="6"/>
    </x:row>
    <x:row r="15" ht="20" customHeight="1"/>
    <x:row r="16" ht="20" customHeight="1">
      <x:c r="A16" t="str">
        <x:v>Analyst target gross IRR</x:v>
      </x:c>
      <x:c r="B16" s="36" t="n">
        <x:f>Transaction!B16</x:f>
        <x:v>0.25</x:v>
      </x:c>
    </x:row>
    <x:row r="17" ht="20" customHeight="1">
      <x:c r="A17" t="str">
        <x:v>Entry-to-exit hold years</x:v>
      </x:c>
      <x:c r="B17" s="28" t="n">
        <x:f>Transaction!B17-Transaction!B18</x:f>
        <x:v>7</x:v>
      </x:c>
    </x:row>
    <x:row r="18" ht="20" customHeight="1">
      <x:c r="A18" t="str">
        <x:v>Follow-on-to-exit hold years</x:v>
      </x:c>
      <x:c r="B18" s="28" t="n">
        <x:f>Transaction!B17-Transaction!B19</x:f>
        <x:v>4</x:v>
      </x:c>
    </x:row>
    <x:row r="19" ht="20" customHeight="1">
      <x:c r="A19" t="str">
        <x:v>Required exit gross proceeds ($m)</x:v>
      </x:c>
      <x:c r="B19" s="30" t="n">
        <x:f>Transaction!B6*(1+B16)^B17+Transaction!B12*(1+B16)^B18</x:f>
        <x:v>31.979878743489582</x:v>
      </x:c>
    </x:row>
    <x:row r="20" ht="20" customHeight="1">
      <x:c r="A20" t="str">
        <x:v>Max acceptable pre-money ($m)</x:v>
      </x:c>
      <x:c r="B20" s="30" t="n">
        <x:f>MAX(0,((Forecast!J27*Assumptions!D8*(1-Transaction!B15)-Transaction!B10*(1+B16)^B18)/(1+B16)^B17)-Transaction!B6)</x:f>
        <x:v>16.97484265151965</x:v>
      </x:c>
    </x:row>
    <x:row r="21" ht="20" customHeight="1"/>
    <x:row r="22" ht="20" customHeight="1"/>
    <x:row r="23" ht="20" customHeight="1">
      <x:c r="A23" t="str">
        <x:v>Interpretation</x:v>
      </x:c>
      <x:c r="B23" s="10" t="str">
        <x:v>The break-even entry price is illustrative and uses the base revenue projection and exit multiple. No 2026 actuals were available.</x:v>
      </x:c>
    </x:row>
    <x:row r="24" ht="20" customHeight="1"/>
    <x:row r="25" ht="20" customHeight="1"/>
    <x:row r="26" ht="20" customHeight="1"/>
    <x:row r="27" ht="20" customHeight="1"/>
    <x:row r="28" ht="20" customHeight="1"/>
    <x:row r="29" ht="20" customHeight="1"/>
    <x:row r="30" ht="20" customHeight="1"/>
    <x:row r="31" ht="20" customHeight="1"/>
    <x:row r="32" ht="20" customHeight="1"/>
    <x:row r="33" ht="20" customHeight="1"/>
    <x:row r="34" ht="20" customHeight="1"/>
    <x:row r="35" ht="20" customHeight="1"/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</x:sheetData>
  <x:mergeCells>
    <x:mergeCell ref="A1:G2"/>
    <x:mergeCell ref="A4:G4"/>
    <x:mergeCell ref="A14:G14"/>
  </x:mergeCells>
  <x:conditionalFormatting sqref="B7:F11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30" hidden="0" customWidth="1"/>
    <x:col min="3" max="3" width="74" hidden="0" customWidth="1"/>
    <x:col min="4" max="4" width="24" hidden="0" customWidth="1"/>
    <x:col min="5" max="5" width="64" hidden="0" customWidth="1"/>
    <x:col min="6" max="6" width="20" hidden="0" customWidth="1"/>
    <x:col min="7" max="7" width="20" hidden="0" customWidth="1"/>
  </x:cols>
  <x:sheetData>
    <x:row r="1" ht="23" customHeight="1">
      <x:c r="A1" s="3" t="str">
        <x:v>DEAL KILLERS AND DILIGENCE PRIORITIES</x:v>
      </x:c>
      <x:c r="B1" s="3"/>
      <x:c r="C1" s="3"/>
      <x:c r="D1" s="3"/>
      <x:c r="E1" s="3"/>
      <x:c r="F1" s="3"/>
      <x:c r="G1" s="3"/>
    </x:row>
    <x:row r="2" ht="23" customHeight="1">
      <x:c r="A2" s="3"/>
      <x:c r="B2" s="3"/>
      <x:c r="C2" s="3"/>
      <x:c r="D2" s="3"/>
      <x:c r="E2" s="3"/>
      <x:c r="F2" s="3"/>
      <x:c r="G2" s="3"/>
    </x:row>
    <x:row r="3" ht="20" customHeight="1"/>
    <x:row r="4" ht="24" customHeight="1">
      <x:c r="A4" s="13" t="str">
        <x:v>Priority</x:v>
      </x:c>
      <x:c r="B4" s="13" t="str">
        <x:v>Decision gate</x:v>
      </x:c>
      <x:c r="C4" s="13" t="str">
        <x:v>Evidence required</x:v>
      </x:c>
      <x:c r="D4" s="13" t="str">
        <x:v>Public status</x:v>
      </x:c>
      <x:c r="E4" s="13" t="str">
        <x:v>Fail consequence</x:v>
      </x:c>
      <x:c r="F4" s="13" t="str">
        <x:v>Category</x:v>
      </x:c>
      <x:c r="G4" s="13" t="str">
        <x:v>Owner</x:v>
      </x:c>
    </x:row>
    <x:row r="5" ht="38" customHeight="1">
      <x:c r="A5" s="10" t="str">
        <x:v>P0</x:v>
      </x:c>
      <x:c r="B5" s="10" t="str">
        <x:v>Revenue classification</x:v>
      </x:c>
      <x:c r="C5" s="10" t="str">
        <x:v>Monthly invoices and contracts split by subscription, per-scan, services and implementation</x:v>
      </x:c>
      <x:c r="D5" s="10" t="str">
        <x:v>UNVERIFIED</x:v>
      </x:c>
      <x:c r="E5" s="10" t="str">
        <x:v>Cannot claim ARR; revalue as transaction revenue</x:v>
      </x:c>
      <x:c r="F5" s="10" t="str">
        <x:v>Financial</x:v>
      </x:c>
      <x:c r="G5" s="10" t="str">
        <x:v>Investment team</x:v>
      </x:c>
    </x:row>
    <x:row r="6" ht="38" customHeight="1">
      <x:c r="A6" s="10" t="str">
        <x:v>P0</x:v>
      </x:c>
      <x:c r="B6" s="10" t="str">
        <x:v>2026 current trading</x:v>
      </x:c>
      <x:c r="C6" s="10" t="str">
        <x:v>Latest 12 months actual revenue, margin and gross cash burn, reconciled to bank</x:v>
      </x:c>
      <x:c r="D6" s="10" t="str">
        <x:v>UNVERIFIED</x:v>
      </x:c>
      <x:c r="E6" s="10" t="str">
        <x:v>Do not underwrite entry on stale 2025 run-rate</x:v>
      </x:c>
      <x:c r="F6" s="10" t="str">
        <x:v>Financial</x:v>
      </x:c>
      <x:c r="G6" s="10" t="str">
        <x:v>Investment team</x:v>
      </x:c>
    </x:row>
    <x:row r="7" ht="38" customHeight="1">
      <x:c r="A7" s="10" t="str">
        <x:v>P0</x:v>
      </x:c>
      <x:c r="B7" s="10" t="str">
        <x:v>Measurement accuracy</x:v>
      </x:c>
      <x:c r="C7" s="10" t="str">
        <x:v>Blind validation across hundreds of jobs, device types, materials, lighting and field error</x:v>
      </x:c>
      <x:c r="D7" s="10" t="str">
        <x:v>COMPANY CLAIM ONLY</x:v>
      </x:c>
      <x:c r="E7" s="10" t="str">
        <x:v>Fundamental product risk, potential rework liability</x:v>
      </x:c>
      <x:c r="F7" s="10" t="str">
        <x:v>Product</x:v>
      </x:c>
      <x:c r="G7" s="10" t="str">
        <x:v>Technical diligence</x:v>
      </x:c>
    </x:row>
    <x:row r="8" ht="38" customHeight="1">
      <x:c r="A8" s="10" t="str">
        <x:v>P0</x:v>
      </x:c>
      <x:c r="B8" s="10" t="str">
        <x:v>Customer / logo quality</x:v>
      </x:c>
      <x:c r="C8" s="10" t="str">
        <x:v>Signed paid contracts; revenue by customer; pilots vs paying users; logos permissions</x:v>
      </x:c>
      <x:c r="D8" s="10" t="str">
        <x:v>COMPANY CLAIM ONLY</x:v>
      </x:c>
      <x:c r="E8" s="10" t="str">
        <x:v>Reported '50+' may overstate monetized demand</x:v>
      </x:c>
      <x:c r="F8" s="10" t="str">
        <x:v>Commercial</x:v>
      </x:c>
      <x:c r="G8" s="10" t="str">
        <x:v>Investment team</x:v>
      </x:c>
    </x:row>
    <x:row r="9" ht="38" customHeight="1">
      <x:c r="A9" s="10" t="str">
        <x:v>P0</x:v>
      </x:c>
      <x:c r="B9" s="10" t="str">
        <x:v>Gross margin and unit costs</x:v>
      </x:c>
      <x:c r="C9" s="10" t="str">
        <x:v>Cloud inference cost, human QA, scanning support, warranty liability</x:v>
      </x:c>
      <x:c r="D9" s="10" t="str">
        <x:v>UNVERIFIED</x:v>
      </x:c>
      <x:c r="E9" s="10" t="str">
        <x:v>No SaaS multiple without software-grade margin</x:v>
      </x:c>
      <x:c r="F9" s="10" t="str">
        <x:v>Financial</x:v>
      </x:c>
      <x:c r="G9" s="10" t="str">
        <x:v>Investment team</x:v>
      </x:c>
    </x:row>
    <x:row r="10" ht="38" customHeight="1">
      <x:c r="A10" s="10" t="str">
        <x:v>P1</x:v>
      </x:c>
      <x:c r="B10" s="10" t="str">
        <x:v>Cohort retention</x:v>
      </x:c>
      <x:c r="C10" s="10" t="str">
        <x:v>GRR, NRR, customer churn and scan frequency by monthly cohort</x:v>
      </x:c>
      <x:c r="D10" s="10" t="str">
        <x:v>UNVERIFIED</x:v>
      </x:c>
      <x:c r="E10" s="10" t="str">
        <x:v>Cannot validate stickiness / lifetime value</x:v>
      </x:c>
      <x:c r="F10" s="10" t="str">
        <x:v>Financial</x:v>
      </x:c>
      <x:c r="G10" s="10" t="str">
        <x:v>Investment team</x:v>
      </x:c>
    </x:row>
    <x:row r="11" ht="38" customHeight="1">
      <x:c r="A11" s="10" t="str">
        <x:v>P1</x:v>
      </x:c>
      <x:c r="B11" s="10" t="str">
        <x:v>ROI and workflow</x:v>
      </x:c>
      <x:c r="C11" s="10" t="str">
        <x:v>Hours and site visits saved, installation callbacks, reruns, cancellation changes</x:v>
      </x:c>
      <x:c r="D11" s="10" t="str">
        <x:v>COMPANY CLAIM ONLY</x:v>
      </x:c>
      <x:c r="E11" s="10" t="str">
        <x:v>Weak pricing power and expansion economics</x:v>
      </x:c>
      <x:c r="F11" s="10" t="str">
        <x:v>Commercial</x:v>
      </x:c>
      <x:c r="G11" s="10" t="str">
        <x:v>Investment team</x:v>
      </x:c>
    </x:row>
    <x:row r="12" ht="38" customHeight="1">
      <x:c r="A12" s="10" t="str">
        <x:v>P1</x:v>
      </x:c>
      <x:c r="B12" s="10" t="str">
        <x:v>Sales efficiency</x:v>
      </x:c>
      <x:c r="C12" s="10" t="str">
        <x:v>CAC, payback, channel partners, split of outbound, referral and OEM</x:v>
      </x:c>
      <x:c r="D12" s="10" t="str">
        <x:v>UNVERIFIED</x:v>
      </x:c>
      <x:c r="E12" s="10" t="str">
        <x:v>Cannot confirm Flashpoint 3x LTV/CAC target</x:v>
      </x:c>
      <x:c r="F12" s="10" t="str">
        <x:v>Commercial</x:v>
      </x:c>
      <x:c r="G12" s="10" t="str">
        <x:v>Investment team</x:v>
      </x:c>
    </x:row>
    <x:row r="13" ht="38" customHeight="1">
      <x:c r="A13" s="10" t="str">
        <x:v>P1</x:v>
      </x:c>
      <x:c r="B13" s="10" t="str">
        <x:v>Competitive durability</x:v>
      </x:c>
      <x:c r="C13" s="10" t="str">
        <x:v>Feature comparison and win-loss vs HOVER, magicplan, Canvas/Twindo, other OEMs</x:v>
      </x:c>
      <x:c r="D13" s="10" t="str">
        <x:v>PARTIAL PUBLIC</x:v>
      </x:c>
      <x:c r="E13" s="10" t="str">
        <x:v>High risk of commoditization</x:v>
      </x:c>
      <x:c r="F13" s="10" t="str">
        <x:v>Competition</x:v>
      </x:c>
      <x:c r="G13" s="10" t="str">
        <x:v>Investment team</x:v>
      </x:c>
    </x:row>
    <x:row r="14" ht="38" customHeight="1">
      <x:c r="A14" s="10" t="str">
        <x:v>P1</x:v>
      </x:c>
      <x:c r="B14" s="10" t="str">
        <x:v>IP / privacy / accuracy liability</x:v>
      </x:c>
      <x:c r="C14" s="10" t="str">
        <x:v>Patent position, training data consent, warranty / indemnity, security review</x:v>
      </x:c>
      <x:c r="D14" s="10" t="str">
        <x:v>UNVERIFIED</x:v>
      </x:c>
      <x:c r="E14" s="10" t="str">
        <x:v>Adverse legal / operating tail risks</x:v>
      </x:c>
      <x:c r="F14" s="10" t="str">
        <x:v>Legal</x:v>
      </x:c>
      <x:c r="G14" s="10" t="str">
        <x:v>Counsel</x:v>
      </x:c>
    </x:row>
    <x:row r="15" ht="38" customHeight="1">
      <x:c r="A15" s="10" t="str">
        <x:v>P1</x:v>
      </x:c>
      <x:c r="B15" s="10" t="str">
        <x:v>Cap table and financing</x:v>
      </x:c>
      <x:c r="C15" s="10" t="str">
        <x:v>Fully diluted capitalization, SAFEs, preferences, option pool, debt, investor consents</x:v>
      </x:c>
      <x:c r="D15" s="10" t="str">
        <x:v>UNVERIFIED</x:v>
      </x:c>
      <x:c r="E15" s="10" t="str">
        <x:v>Illustrative entry price cannot be used as term sheet</x:v>
      </x:c>
      <x:c r="F15" s="10" t="str">
        <x:v>Legal</x:v>
      </x:c>
      <x:c r="G15" s="10" t="str">
        <x:v>Counsel</x:v>
      </x:c>
    </x:row>
    <x:row r="16" ht="38" customHeight="1">
      <x:c r="A16" s="10" t="str">
        <x:v>P2</x:v>
      </x:c>
      <x:c r="B16" s="10" t="str">
        <x:v>2027 demand risk</x:v>
      </x:c>
      <x:c r="C16" s="10" t="str">
        <x:v>Customer sensitivity to remodeling slowdown, cancellations and renovation volume</x:v>
      </x:c>
      <x:c r="D16" s="10" t="str">
        <x:v>MACRO HEADWIND</x:v>
      </x:c>
      <x:c r="E16" s="10" t="str">
        <x:v>Forecast must stress cyclicality</x:v>
      </x:c>
      <x:c r="F16" s="10" t="str">
        <x:v>Market</x:v>
      </x:c>
      <x:c r="G16" s="10" t="str">
        <x:v>Investment team</x:v>
      </x:c>
    </x:row>
    <x:row r="17" ht="20" customHeight="1"/>
    <x:row r="18" ht="20" customHeight="1"/>
    <x:row r="19" ht="20" customHeight="1"/>
    <x:row r="20" ht="20" customHeight="1"/>
    <x:row r="21" ht="20" customHeight="1"/>
    <x:row r="22" ht="20" customHeight="1"/>
    <x:row r="23" ht="20" customHeight="1"/>
    <x:row r="24" ht="20" customHeight="1"/>
    <x:row r="25" ht="20" customHeight="1"/>
    <x:row r="26" ht="20" customHeight="1"/>
    <x:row r="27" ht="20" customHeight="1"/>
    <x:row r="28" ht="20" customHeight="1"/>
    <x:row r="29" ht="20" customHeight="1"/>
    <x:row r="30" ht="20" customHeight="1"/>
    <x:row r="31" ht="20" customHeight="1"/>
    <x:row r="32" ht="20" customHeight="1"/>
    <x:row r="33" ht="20" customHeight="1"/>
    <x:row r="34" ht="20" customHeight="1"/>
    <x:row r="35" ht="20" customHeight="1"/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</x:sheetData>
  <x:mergeCells>
    <x:mergeCell ref="A1:G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48" hidden="0" customWidth="1"/>
    <x:col min="3" max="3" width="24" hidden="0" customWidth="1"/>
    <x:col min="4" max="4" width="19" hidden="0" customWidth="1"/>
    <x:col min="5" max="5" width="90" hidden="0" customWidth="1"/>
    <x:col min="6" max="6" width="18" hidden="0" customWidth="1"/>
    <x:col min="7" max="7" width="68" hidden="0" customWidth="1"/>
  </x:cols>
  <x:sheetData>
    <x:row r="1" ht="23" customHeight="1">
      <x:c r="A1" s="3" t="str">
        <x:v>EVIDENCE REGISTER | SOURCED CLAIMS AND CAVEATS</x:v>
      </x:c>
      <x:c r="B1" s="3"/>
      <x:c r="C1" s="3"/>
      <x:c r="D1" s="3"/>
      <x:c r="E1" s="3"/>
      <x:c r="F1" s="3"/>
      <x:c r="G1" s="3"/>
    </x:row>
    <x:row r="2" ht="23" customHeight="1">
      <x:c r="A2" s="3"/>
      <x:c r="B2" s="3"/>
      <x:c r="C2" s="3"/>
      <x:c r="D2" s="3"/>
      <x:c r="E2" s="3"/>
      <x:c r="F2" s="3"/>
      <x:c r="G2" s="3"/>
    </x:row>
    <x:row r="3" ht="20" customHeight="1"/>
    <x:row r="4" ht="24" customHeight="1">
      <x:c r="A4" s="13" t="str">
        <x:v>ID</x:v>
      </x:c>
      <x:c r="B4" s="13" t="str">
        <x:v>Claim</x:v>
      </x:c>
      <x:c r="C4" s="13" t="str">
        <x:v>Claim type</x:v>
      </x:c>
      <x:c r="D4" s="13" t="str">
        <x:v>Observed / published</x:v>
      </x:c>
      <x:c r="E4" s="13" t="str">
        <x:v>Evidence source URL</x:v>
      </x:c>
      <x:c r="F4" s="13" t="str">
        <x:v>Confidence</x:v>
      </x:c>
      <x:c r="G4" s="13" t="str">
        <x:v>Analyst limitation</x:v>
      </x:c>
    </x:row>
    <x:row r="5" ht="36" customHeight="1">
      <x:c r="A5" s="10" t="str">
        <x:v>E01</x:v>
      </x:c>
      <x:c r="B5" s="10" t="str">
        <x:v>Initial checks $1-$10m, 5%+ stake, $3m+ ARR</x:v>
      </x:c>
      <x:c r="C5" s="10" t="str">
        <x:v>Firm primary</x:v>
      </x:c>
      <x:c r="D5" s="10" t="str">
        <x:v>Nov 2026 access</x:v>
      </x:c>
      <x:c r="E5" s="10" t="str">
        <x:v>https://flashpoint.capital/products/venture-growth</x:v>
      </x:c>
      <x:c r="F5" s="10" t="str">
        <x:v>HIGH</x:v>
      </x:c>
      <x:c r="G5" s="10" t="str">
        <x:v>Mandate not proof that specific deal is actionable</x:v>
      </x:c>
    </x:row>
    <x:row r="6" ht="36" customHeight="1">
      <x:c r="A6" s="10" t="str">
        <x:v>E02</x:v>
      </x:c>
      <x:c r="B6" s="10" t="str">
        <x:v>Target LTV/CAC &gt;3x and 6-10 year holding</x:v>
      </x:c>
      <x:c r="C6" s="10" t="str">
        <x:v>Firm primary</x:v>
      </x:c>
      <x:c r="D6" s="10" t="str">
        <x:v>Nov 2026 access</x:v>
      </x:c>
      <x:c r="E6" s="10" t="str">
        <x:v>https://flashpoint.capital/products/venture-growth</x:v>
      </x:c>
      <x:c r="F6" s="10" t="str">
        <x:v>HIGH</x:v>
      </x:c>
      <x:c r="G6" s="10" t="str">
        <x:v>No actual target portfolio hurdle publicly confirmed</x:v>
      </x:c>
    </x:row>
    <x:row r="7" ht="36" customHeight="1">
      <x:c r="A7" s="10" t="str">
        <x:v>E03</x:v>
      </x:c>
      <x:c r="B7" s="10" t="str">
        <x:v>Anton manages U.S. and Israeli investments; TraceAir director</x:v>
      </x:c>
      <x:c r="C7" s="10" t="str">
        <x:v>Firm primary</x:v>
      </x:c>
      <x:c r="D7" s="10" t="str">
        <x:v>Nov 2026 access</x:v>
      </x:c>
      <x:c r="E7" s="10" t="str">
        <x:v>https://flashpoint.capital/team/tony-fedorov</x:v>
      </x:c>
      <x:c r="F7" s="10" t="str">
        <x:v>HIGH</x:v>
      </x:c>
      <x:c r="G7" s="10" t="str">
        <x:v>Partner coverage does not establish willingness to review Medida</x:v>
      </x:c>
    </x:row>
    <x:row r="8" ht="36" customHeight="1">
      <x:c r="A8" s="10" t="str">
        <x:v>E04</x:v>
      </x:c>
      <x:c r="B8" s="10" t="str">
        <x:v>Medida raised $4m seed funding</x:v>
      </x:c>
      <x:c r="C8" s="10" t="str">
        <x:v>Press / company statement</x:v>
      </x:c>
      <x:c r="D8" s="10" t="str">
        <x:v>Dec 10 2025</x:v>
      </x:c>
      <x:c r="E8" s="10" t="str">
        <x:v>https://www.calcalistech.com/ctechnews/article/bj10jmvzzl</x:v>
      </x:c>
      <x:c r="F8" s="10" t="str">
        <x:v>MEDIUM</x:v>
      </x:c>
      <x:c r="G8" s="10" t="str">
        <x:v>Reported raise, no verified capitalization or date reconciliations</x:v>
      </x:c>
    </x:row>
    <x:row r="9" ht="36" customHeight="1">
      <x:c r="A9" s="10" t="str">
        <x:v>E05</x:v>
      </x:c>
      <x:c r="B9" s="10" t="str">
        <x:v>$3m annualized revenue rate, 35 US states</x:v>
      </x:c>
      <x:c r="C9" s="10" t="str">
        <x:v>Press / company statement</x:v>
      </x:c>
      <x:c r="D9" s="10" t="str">
        <x:v>Dec 10 2025</x:v>
      </x:c>
      <x:c r="E9" s="10" t="str">
        <x:v>https://www.calcalistech.com/ctechnews/article/bj10jmvzzl</x:v>
      </x:c>
      <x:c r="F9" s="10" t="str">
        <x:v>MEDIUM</x:v>
      </x:c>
      <x:c r="G9" s="10" t="str">
        <x:v>Article headline says ARR; body describes annual revenue rate</x:v>
      </x:c>
    </x:row>
    <x:row r="10" ht="36" customHeight="1">
      <x:c r="A10" s="10" t="str">
        <x:v>E06</x:v>
      </x:c>
      <x:c r="B10" s="10" t="str">
        <x:v>Medida says trusted by 50+ home remodelers</x:v>
      </x:c>
      <x:c r="C10" s="10" t="str">
        <x:v>Company primary marketing</x:v>
      </x:c>
      <x:c r="D10" s="10" t="str">
        <x:v>Nov 2026 access</x:v>
      </x:c>
      <x:c r="E10" s="10" t="str">
        <x:v>https://medida.ai/</x:v>
      </x:c>
      <x:c r="F10" s="10" t="str">
        <x:v>LOW / SELF CLAIM</x:v>
      </x:c>
      <x:c r="G10" s="10" t="str">
        <x:v>Unknown paid vs trial vs historical logos</x:v>
      </x:c>
    </x:row>
    <x:row r="11" ht="36" customHeight="1">
      <x:c r="A11" s="10" t="str">
        <x:v>E07</x:v>
      </x:c>
      <x:c r="B11" s="10" t="str">
        <x:v>Medida claims 99.9% measurement accuracy up to 1/8 inch</x:v>
      </x:c>
      <x:c r="C11" s="10" t="str">
        <x:v>Company primary marketing</x:v>
      </x:c>
      <x:c r="D11" s="10" t="str">
        <x:v>Nov 2026 access</x:v>
      </x:c>
      <x:c r="E11" s="10" t="str">
        <x:v>https://medida.ai/products/accuracy</x:v>
      </x:c>
      <x:c r="F11" s="10" t="str">
        <x:v>LOW / SELF CLAIM</x:v>
      </x:c>
      <x:c r="G11" s="10" t="str">
        <x:v>No independent blind test or sample size</x:v>
      </x:c>
    </x:row>
    <x:row r="12" ht="36" customHeight="1">
      <x:c r="A12" s="10" t="str">
        <x:v>E08</x:v>
      </x:c>
      <x:c r="B12" s="10" t="str">
        <x:v>Medida claims 33%+ fewer cancellations</x:v>
      </x:c>
      <x:c r="C12" s="10" t="str">
        <x:v>Company primary marketing</x:v>
      </x:c>
      <x:c r="D12" s="10" t="str">
        <x:v>Nov 2026 access</x:v>
      </x:c>
      <x:c r="E12" s="10" t="str">
        <x:v>https://medida.ai/products/accuracy</x:v>
      </x:c>
      <x:c r="F12" s="10" t="str">
        <x:v>LOW / SELF CLAIM</x:v>
      </x:c>
      <x:c r="G12" s="10" t="str">
        <x:v>Definition, causality and sample unknown</x:v>
      </x:c>
    </x:row>
    <x:row r="13" ht="36" customHeight="1">
      <x:c r="A13" s="10" t="str">
        <x:v>E09</x:v>
      </x:c>
      <x:c r="B13" s="10" t="str">
        <x:v>Harvard expects ~$525b remodeling spend, largely flat to late 2027</x:v>
      </x:c>
      <x:c r="C13" s="10" t="str">
        <x:v>Research primary</x:v>
      </x:c>
      <x:c r="D13" s="10" t="str">
        <x:v>Oct 22 2026</x:v>
      </x:c>
      <x:c r="E13" s="10" t="str">
        <x:v>https://www.jchs.harvard.edu/press-releases/remodeling-spending-continues-stagnate</x:v>
      </x:c>
      <x:c r="F13" s="10" t="str">
        <x:v>HIGH</x:v>
      </x:c>
      <x:c r="G13" s="10" t="str">
        <x:v>Broader spend is NOT market size for measurement software</x:v>
      </x:c>
    </x:row>
    <x:row r="14" ht="36" customHeight="1">
      <x:c r="A14" s="10" t="str">
        <x:v>E10</x:v>
      </x:c>
      <x:c r="B14" s="10" t="str">
        <x:v>HOVER offers phone-based measures and per project pricing</x:v>
      </x:c>
      <x:c r="C14" s="10" t="str">
        <x:v>Competitor primary</x:v>
      </x:c>
      <x:c r="D14" s="10" t="str">
        <x:v>Nov 2026 access</x:v>
      </x:c>
      <x:c r="E14" s="10" t="str">
        <x:v>https://hover.to/pricing/</x:v>
      </x:c>
      <x:c r="F14" s="10" t="str">
        <x:v>HIGH</x:v>
      </x:c>
      <x:c r="G14" s="10" t="str">
        <x:v>Published plans, not apples-to-apples benchmark</x:v>
      </x:c>
    </x:row>
    <x:row r="15" ht="36" customHeight="1">
      <x:c r="A15" s="10" t="str">
        <x:v>E11</x:v>
      </x:c>
      <x:c r="B15" s="10" t="str">
        <x:v>magicplan offers measurement, floorplan, project-based price</x:v>
      </x:c>
      <x:c r="C15" s="10" t="str">
        <x:v>Competitor primary</x:v>
      </x:c>
      <x:c r="D15" s="10" t="str">
        <x:v>Nov 2026 access</x:v>
      </x:c>
      <x:c r="E15" s="10" t="str">
        <x:v>https://magicplan.app/pricing</x:v>
      </x:c>
      <x:c r="F15" s="10" t="str">
        <x:v>HIGH</x:v>
      </x:c>
      <x:c r="G15" s="10" t="str">
        <x:v>Product scope and accuracy differ</x:v>
      </x:c>
    </x:row>
    <x:row r="16" ht="36" customHeight="1">
      <x:c r="A16" s="10" t="str">
        <x:v>E12</x:v>
      </x:c>
      <x:c r="B16" s="10" t="str">
        <x:v>Reeco raised $15m Series A in 2025</x:v>
      </x:c>
      <x:c r="C16" s="10" t="str">
        <x:v>Company press release</x:v>
      </x:c>
      <x:c r="D16" s="10" t="str">
        <x:v>Jan 15 2025</x:v>
      </x:c>
      <x:c r="E16" s="10" t="str">
        <x:v>https://www.prnewswire.com/news-releases/reeco-raises-15m-series-a-round-to-modernize-hotel-procurement-with-ai-driven-procure-to-pay-platform-302351873.html</x:v>
      </x:c>
      <x:c r="F16" s="10" t="str">
        <x:v>HIGH</x:v>
      </x:c>
      <x:c r="G16" s="10" t="str">
        <x:v>Revenue / valuation not public</x:v>
      </x:c>
    </x:row>
    <x:row r="17" ht="36" customHeight="1">
      <x:c r="A17" s="10" t="str">
        <x:v>E13</x:v>
      </x:c>
      <x:c r="B17" s="10" t="str">
        <x:v>Reeco press later reported $30m total raised</x:v>
      </x:c>
      <x:c r="C17" s="10" t="str">
        <x:v>Press</x:v>
      </x:c>
      <x:c r="D17" s="10" t="str">
        <x:v>2026</x:v>
      </x:c>
      <x:c r="E17" s="10" t="str">
        <x:v>https://www.ynetnews.com/business/article/sjdtdcleme</x:v>
      </x:c>
      <x:c r="F17" s="10" t="str">
        <x:v>MEDIUM</x:v>
      </x:c>
      <x:c r="G17" s="10" t="str">
        <x:v>Financing chronology not fully reconciled</x:v>
      </x:c>
    </x:row>
    <x:row r="18" ht="36" customHeight="1">
      <x:c r="A18" s="10" t="str">
        <x:v>E14</x:v>
      </x:c>
      <x:c r="B18" s="10" t="str">
        <x:v>LeanCon announced $6m seed round</x:v>
      </x:c>
      <x:c r="C18" s="10" t="str">
        <x:v>Press</x:v>
      </x:c>
      <x:c r="D18" s="10" t="str">
        <x:v>2025</x:v>
      </x:c>
      <x:c r="E18" s="10" t="str">
        <x:v>https://www.ynetnews.com/business/article/sjjkkno11wx</x:v>
      </x:c>
      <x:c r="F18" s="10" t="str">
        <x:v>MEDIUM</x:v>
      </x:c>
      <x:c r="G18" s="10" t="str">
        <x:v>Revenue not disclosed; likely too early for growth mandate</x:v>
      </x:c>
    </x:row>
    <x:row r="19" ht="20" customHeight="1"/>
    <x:row r="20" ht="20" customHeight="1"/>
    <x:row r="21" ht="20" customHeight="1"/>
    <x:row r="22" ht="20" customHeight="1"/>
    <x:row r="23" ht="20" customHeight="1"/>
    <x:row r="24" ht="20" customHeight="1"/>
    <x:row r="25" ht="20" customHeight="1"/>
    <x:row r="26" ht="20" customHeight="1"/>
    <x:row r="27" ht="20" customHeight="1"/>
    <x:row r="28" ht="20" customHeight="1"/>
    <x:row r="29" ht="20" customHeight="1"/>
    <x:row r="30" ht="20" customHeight="1"/>
    <x:row r="31" ht="20" customHeight="1"/>
    <x:row r="32" ht="20" customHeight="1"/>
    <x:row r="33" ht="20" customHeight="1"/>
    <x:row r="34" ht="20" customHeight="1"/>
    <x:row r="35" ht="20" customHeight="1"/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</x:sheetData>
  <x:mergeCells>
    <x:mergeCell ref="A1:G2"/>
  </x:mergeCells>
  <x:pageMargins left="0.7" right="0.7" top="0.75" bottom="0.75" header="0.3" footer="0.3"/>
</x:worksheet>
</file>